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35" windowWidth="10410" windowHeight="12675" activeTab="0"/>
  </bookViews>
  <sheets>
    <sheet name="Hcontact.xls" sheetId="1" r:id="rId1"/>
  </sheets>
  <definedNames>
    <definedName name="A0age">'Hcontact.xls'!$E$12</definedName>
    <definedName name="A0alt">'Hcontact.xls'!$E$3</definedName>
    <definedName name="A1age">'Hcontact.xls'!$E$13</definedName>
    <definedName name="A1alt">'Hcontact.xls'!$E$6</definedName>
    <definedName name="A2age">'Hcontact.xls'!$E$14</definedName>
    <definedName name="A2alt">'Hcontact.xls'!$E$7</definedName>
    <definedName name="A3age">'Hcontact.xls'!$E$15</definedName>
    <definedName name="A3alt">'Hcontact.xls'!$E$8</definedName>
    <definedName name="A4age">'Hcontact.xls'!$E$16</definedName>
    <definedName name="A4alt">'Hcontact.xls'!$E$9</definedName>
    <definedName name="A5age">'Hcontact.xls'!$E$17</definedName>
    <definedName name="A5alt">'Hcontact.xls'!$E$10</definedName>
    <definedName name="alpha">'Hcontact.xls'!$B$21</definedName>
    <definedName name="B0age">'Hcontact.xls'!$G$12</definedName>
    <definedName name="B0alt">'Hcontact.xls'!$G$3</definedName>
    <definedName name="B1age">'Hcontact.xls'!$G$13</definedName>
    <definedName name="B1alt">'Hcontact.xls'!$G$6</definedName>
    <definedName name="B2age">'Hcontact.xls'!$G$14</definedName>
    <definedName name="B2alt">'Hcontact.xls'!$G$7</definedName>
    <definedName name="B3age">'Hcontact.xls'!$G$15</definedName>
    <definedName name="B3alt">'Hcontact.xls'!$G$8</definedName>
    <definedName name="B4age">'Hcontact.xls'!$G$16</definedName>
    <definedName name="B4alt">'Hcontact.xls'!$G$9</definedName>
    <definedName name="B5age">'Hcontact.xls'!$G$18</definedName>
    <definedName name="B5alt">'Hcontact.xls'!$G$10</definedName>
    <definedName name="beta">'Hcontact.xls'!$B$22</definedName>
    <definedName name="cc">'Hcontact.xls'!$B$24</definedName>
    <definedName name="costheta">'Hcontact.xls'!$B$19</definedName>
    <definedName name="dd">'Hcontact.xls'!$B$25</definedName>
    <definedName name="DmDm">'Hcontact.xls'!#REF!</definedName>
    <definedName name="Ebar">'Hcontact.xls'!$B$14</definedName>
    <definedName name="Ee">'Hcontact.xls'!$B$17</definedName>
    <definedName name="Eone">'Hcontact.xls'!$B$13</definedName>
    <definedName name="Eroller">'Hcontact.xls'!$B$13</definedName>
    <definedName name="Etwo">'Hcontact.xls'!$B$14</definedName>
    <definedName name="F">'Hcontact.xls'!$B$10</definedName>
    <definedName name="Fpercent">'Hcontact.xls'!#REF!</definedName>
    <definedName name="L0age">'Hcontact.xls'!$J$12</definedName>
    <definedName name="L0alt">'Hcontact.xls'!$J$3</definedName>
    <definedName name="L1age">'Hcontact.xls'!$J$13</definedName>
    <definedName name="L1alt">'Hcontact.xls'!$J$6</definedName>
    <definedName name="L2age">'Hcontact.xls'!$J$14</definedName>
    <definedName name="L2alt">'Hcontact.xls'!$J$7</definedName>
    <definedName name="L3age">'Hcontact.xls'!$J$15</definedName>
    <definedName name="L3alt">'Hcontact.xls'!$J$8</definedName>
    <definedName name="L4age">'Hcontact.xls'!$J$16</definedName>
    <definedName name="L4alt">'Hcontact.xls'!$J$9</definedName>
    <definedName name="L5age">'Hcontact.xls'!$J$18</definedName>
    <definedName name="L5alt">'Hcontact.xls'!$J$10</definedName>
    <definedName name="lambda">'Hcontact.xls'!$B$23</definedName>
    <definedName name="mu">'Hcontact.xls'!#REF!</definedName>
    <definedName name="phi">'Hcontact.xls'!$B$11</definedName>
    <definedName name="Phi__degrees">'Hcontact.xls'!$B$11</definedName>
    <definedName name="Pmax">'Hcontact.xls'!$B$6</definedName>
    <definedName name="_xlnm.Print_Area" localSheetId="0">'Hcontact.xls'!$A$1:$D$30</definedName>
    <definedName name="re">'Hcontact.xls'!$B$18</definedName>
    <definedName name="Ronemaj">'Hcontact.xls'!$B$6</definedName>
    <definedName name="Ronemin">'Hcontact.xls'!$B$7</definedName>
    <definedName name="Rtwomaj">'Hcontact.xls'!$B$8</definedName>
    <definedName name="Rtwomin">'Hcontact.xls'!$B$9</definedName>
    <definedName name="solver_adj" localSheetId="0" hidden="1">'Hcontact.xls'!$B$10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'Hcontact.xls'!$B$27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</definedName>
    <definedName name="theta_1">'Hcontact.xls'!$B$20</definedName>
    <definedName name="tm">'Hcontact.xls'!#REF!</definedName>
    <definedName name="vbar">'Hcontact.xls'!$B$16</definedName>
    <definedName name="vone">'Hcontact.xls'!$B$15</definedName>
    <definedName name="vroller">'Hcontact.xls'!$B$15</definedName>
    <definedName name="vtwo">'Hcontact.xls'!$B$16</definedName>
    <definedName name="Xpercent">'Hcontact.xls'!#REF!</definedName>
  </definedNames>
  <calcPr fullCalcOnLoad="1"/>
</workbook>
</file>

<file path=xl/sharedStrings.xml><?xml version="1.0" encoding="utf-8"?>
<sst xmlns="http://schemas.openxmlformats.org/spreadsheetml/2006/main" count="50" uniqueCount="50">
  <si>
    <t>Contact stress between bodies</t>
  </si>
  <si>
    <t>Enter numbers in bold</t>
  </si>
  <si>
    <t>Be consistent with units!!</t>
  </si>
  <si>
    <t>Steel on Steel</t>
  </si>
  <si>
    <t>Ronemaj</t>
  </si>
  <si>
    <t>Ronemin</t>
  </si>
  <si>
    <t>Rtwomaj</t>
  </si>
  <si>
    <t>Rtwomin</t>
  </si>
  <si>
    <t>Applied load F</t>
  </si>
  <si>
    <t>Phi (degrees)</t>
  </si>
  <si>
    <t>Elastic modulus Eone</t>
  </si>
  <si>
    <t>Elastic modulus Etwo</t>
  </si>
  <si>
    <t>Poisson's ratio vone</t>
  </si>
  <si>
    <t>Poisson's ratio vtwo</t>
  </si>
  <si>
    <t>costheta</t>
  </si>
  <si>
    <t>theta</t>
  </si>
  <si>
    <t>alpha</t>
  </si>
  <si>
    <t>beta</t>
  </si>
  <si>
    <t>lambda</t>
  </si>
  <si>
    <t>ellipse c</t>
  </si>
  <si>
    <t>ellipse d</t>
  </si>
  <si>
    <t>Contact pressure</t>
  </si>
  <si>
    <t>Stress ratio (must be less than 1)</t>
  </si>
  <si>
    <t>Deflection at the one contact interface</t>
  </si>
  <si>
    <t xml:space="preserve">    Deflection (µunits)</t>
  </si>
  <si>
    <t>Stiffness (load/µunits)</t>
  </si>
  <si>
    <t>By A. Slocum Last modified: April, 1998</t>
  </si>
  <si>
    <t>Equivalent modulus Ee</t>
  </si>
  <si>
    <t>Equivalent radius Re</t>
  </si>
  <si>
    <t>angle between the planes of the bodies' major radii</t>
  </si>
  <si>
    <t>Max allowable contact stress</t>
  </si>
  <si>
    <t>typically set at 3/4 of yield strength</t>
  </si>
  <si>
    <t>Ball diameter</t>
  </si>
  <si>
    <t>Force at max stress</t>
  </si>
  <si>
    <t>"pressure" inside cylinder</t>
  </si>
  <si>
    <t>Balls in a Die Set</t>
  </si>
  <si>
    <t>Outer cylinder's inner diameter</t>
  </si>
  <si>
    <t>If outer cylinder changes temperature, and inner cylinder and ball do not, ball preload unloads by</t>
  </si>
  <si>
    <t>microinches per degree F</t>
  </si>
  <si>
    <t>Deflection (microinch) at max stress</t>
  </si>
  <si>
    <t>Degrees F to unload</t>
  </si>
  <si>
    <t>Assume no cyl. Exp.</t>
  </si>
  <si>
    <t>radius of curvature</t>
  </si>
  <si>
    <t>length of canoe</t>
  </si>
  <si>
    <t>groove alignment error (deg)</t>
  </si>
  <si>
    <t>outer distance canoe to vee</t>
  </si>
  <si>
    <t>misalihnment error</t>
  </si>
  <si>
    <t>diamter of coupling</t>
  </si>
  <si>
    <t>torque capacity (ft-lbs)</t>
  </si>
  <si>
    <t>Canoe ball design parameters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</si>
</sst>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"/>
    <numFmt numFmtId="167" formatCode="0.0000"/>
    <numFmt numFmtId="168" formatCode="0.00000"/>
    <numFmt numFmtId="169" formatCode="#,##0.0"/>
    <numFmt numFmtId="170" formatCode="#,##0.000"/>
    <numFmt numFmtId="171" formatCode="0.000000000"/>
    <numFmt numFmtId="172" formatCode="0.0000000000"/>
    <numFmt numFmtId="173" formatCode="0.00000000000"/>
    <numFmt numFmtId="174" formatCode="0.00000000"/>
    <numFmt numFmtId="175" formatCode="0.0000000"/>
    <numFmt numFmtId="176" formatCode="#,##0.00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Tms Rmn"/>
      <family val="0"/>
    </font>
    <font>
      <sz val="12"/>
      <name val="Tms Rmn"/>
      <family val="0"/>
    </font>
    <font>
      <sz val="12"/>
      <color indexed="10"/>
      <name val="Tms Rmn"/>
      <family val="0"/>
    </font>
    <font>
      <sz val="10"/>
      <name val="Arial"/>
      <family val="0"/>
    </font>
    <font>
      <b/>
      <sz val="10"/>
      <color indexed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1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15" applyAlignment="1">
      <alignment/>
    </xf>
    <xf numFmtId="3" fontId="0" fillId="0" borderId="0" xfId="15" applyNumberFormat="1" applyAlignment="1">
      <alignment/>
    </xf>
    <xf numFmtId="3" fontId="5" fillId="0" borderId="0" xfId="15" applyNumberFormat="1" applyFont="1" applyAlignment="1">
      <alignment/>
    </xf>
    <xf numFmtId="15" fontId="1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1" fontId="4" fillId="2" borderId="5" xfId="0" applyNumberFormat="1" applyFont="1" applyFill="1" applyBorder="1" applyAlignment="1">
      <alignment/>
    </xf>
    <xf numFmtId="168" fontId="4" fillId="2" borderId="5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1" fontId="0" fillId="0" borderId="0" xfId="0" applyNumberFormat="1" applyAlignment="1">
      <alignment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33.75390625" style="5" customWidth="1"/>
    <col min="2" max="2" width="18.25390625" style="4" customWidth="1"/>
    <col min="3" max="3" width="20.875" style="0" customWidth="1"/>
    <col min="4" max="4" width="11.75390625" style="0" customWidth="1"/>
    <col min="5" max="5" width="12.25390625" style="0" customWidth="1"/>
    <col min="6" max="6" width="24.375" style="0" customWidth="1"/>
    <col min="7" max="7" width="33.25390625" style="0" customWidth="1"/>
    <col min="8" max="8" width="18.375" style="0" customWidth="1"/>
    <col min="9" max="9" width="19.00390625" style="0" customWidth="1"/>
    <col min="10" max="10" width="23.25390625" style="0" customWidth="1"/>
    <col min="11" max="13" width="11.375" style="0" customWidth="1"/>
    <col min="14" max="14" width="10.75390625" style="2" customWidth="1"/>
    <col min="15" max="15" width="12.125" style="2" customWidth="1"/>
    <col min="16" max="19" width="10.75390625" style="2" customWidth="1"/>
    <col min="20" max="16384" width="11.375" style="0" customWidth="1"/>
  </cols>
  <sheetData>
    <row r="1" spans="1:19" ht="15.75">
      <c r="A1" s="3" t="s">
        <v>0</v>
      </c>
      <c r="N1"/>
      <c r="O1"/>
      <c r="P1"/>
      <c r="Q1"/>
      <c r="R1"/>
      <c r="S1"/>
    </row>
    <row r="2" spans="1:19" ht="15.75">
      <c r="A2" s="3" t="s">
        <v>1</v>
      </c>
      <c r="F2" s="27" t="s">
        <v>49</v>
      </c>
      <c r="G2" s="28"/>
      <c r="N2"/>
      <c r="O2"/>
      <c r="P2"/>
      <c r="Q2"/>
      <c r="R2"/>
      <c r="S2"/>
    </row>
    <row r="3" spans="1:19" ht="15.75">
      <c r="A3" s="3" t="s">
        <v>2</v>
      </c>
      <c r="F3" s="28" t="s">
        <v>42</v>
      </c>
      <c r="G3" s="28">
        <f>Rtwomaj</f>
        <v>0.001</v>
      </c>
      <c r="N3"/>
      <c r="O3"/>
      <c r="P3"/>
      <c r="Q3"/>
      <c r="R3"/>
      <c r="S3"/>
    </row>
    <row r="4" spans="1:19" ht="15.75">
      <c r="A4" s="12" t="s">
        <v>26</v>
      </c>
      <c r="F4" s="28" t="s">
        <v>43</v>
      </c>
      <c r="G4" s="29">
        <v>0.75</v>
      </c>
      <c r="H4" s="13"/>
      <c r="I4" s="4"/>
      <c r="J4" s="4"/>
      <c r="K4" s="4"/>
      <c r="L4" s="4"/>
      <c r="M4" s="4"/>
      <c r="N4"/>
      <c r="O4"/>
      <c r="P4"/>
      <c r="Q4"/>
      <c r="R4"/>
      <c r="S4"/>
    </row>
    <row r="5" spans="1:19" ht="15.75">
      <c r="A5" s="17"/>
      <c r="B5" s="18" t="s">
        <v>3</v>
      </c>
      <c r="F5" s="28" t="s">
        <v>44</v>
      </c>
      <c r="G5" s="29">
        <v>1.5</v>
      </c>
      <c r="H5" s="13"/>
      <c r="I5" s="4"/>
      <c r="J5" s="4"/>
      <c r="K5" s="4"/>
      <c r="L5" s="4"/>
      <c r="M5" s="4"/>
      <c r="N5"/>
      <c r="O5"/>
      <c r="P5"/>
      <c r="Q5"/>
      <c r="R5"/>
      <c r="S5"/>
    </row>
    <row r="6" spans="1:19" ht="15.75">
      <c r="A6" s="19" t="s">
        <v>4</v>
      </c>
      <c r="B6" s="21">
        <v>0.005</v>
      </c>
      <c r="F6" s="28" t="s">
        <v>45</v>
      </c>
      <c r="G6" s="28">
        <f>(G4/2)^2/(2*B0alt)</f>
        <v>70.3125</v>
      </c>
      <c r="N6"/>
      <c r="O6"/>
      <c r="P6"/>
      <c r="Q6"/>
      <c r="R6"/>
      <c r="S6"/>
    </row>
    <row r="7" spans="1:19" ht="15.75">
      <c r="A7" s="19" t="s">
        <v>5</v>
      </c>
      <c r="B7" s="21">
        <v>1000000</v>
      </c>
      <c r="F7" s="28" t="s">
        <v>46</v>
      </c>
      <c r="G7" s="28">
        <f>(G4/2)*SIN(G5*PI()/180)</f>
        <v>0.009816355615452431</v>
      </c>
      <c r="N7"/>
      <c r="O7"/>
      <c r="P7"/>
      <c r="Q7"/>
      <c r="R7"/>
      <c r="S7"/>
    </row>
    <row r="8" spans="1:19" ht="15.75">
      <c r="A8" s="19" t="s">
        <v>6</v>
      </c>
      <c r="B8" s="22">
        <v>0.001</v>
      </c>
      <c r="F8" s="28" t="s">
        <v>47</v>
      </c>
      <c r="G8" s="28">
        <f>5</f>
        <v>5</v>
      </c>
      <c r="N8"/>
      <c r="O8"/>
      <c r="P8"/>
      <c r="Q8"/>
      <c r="R8"/>
      <c r="S8"/>
    </row>
    <row r="9" spans="1:19" ht="15.75">
      <c r="A9" s="19" t="s">
        <v>7</v>
      </c>
      <c r="B9" s="22">
        <v>0.1</v>
      </c>
      <c r="F9" s="28" t="s">
        <v>48</v>
      </c>
      <c r="G9" s="28">
        <f>3*F*B3alt/12</f>
        <v>18.75</v>
      </c>
      <c r="N9"/>
      <c r="O9"/>
      <c r="P9"/>
      <c r="Q9"/>
      <c r="R9"/>
      <c r="S9"/>
    </row>
    <row r="10" spans="1:19" ht="15.75">
      <c r="A10" s="19" t="s">
        <v>8</v>
      </c>
      <c r="B10" s="24">
        <v>15</v>
      </c>
      <c r="C10" s="15"/>
      <c r="N10"/>
      <c r="O10"/>
      <c r="P10"/>
      <c r="Q10"/>
      <c r="R10"/>
      <c r="S10"/>
    </row>
    <row r="11" spans="1:19" ht="15.75">
      <c r="A11" s="19" t="s">
        <v>9</v>
      </c>
      <c r="B11" s="23">
        <v>0</v>
      </c>
      <c r="C11" t="s">
        <v>29</v>
      </c>
      <c r="N11"/>
      <c r="O11"/>
      <c r="P11"/>
      <c r="Q11"/>
      <c r="R11"/>
      <c r="S11"/>
    </row>
    <row r="12" spans="1:19" ht="15.75">
      <c r="A12" s="19" t="s">
        <v>30</v>
      </c>
      <c r="B12" s="24">
        <f>100000*6900</f>
        <v>690000000</v>
      </c>
      <c r="C12" t="s">
        <v>31</v>
      </c>
      <c r="N12"/>
      <c r="O12"/>
      <c r="P12"/>
      <c r="Q12"/>
      <c r="R12"/>
      <c r="S12"/>
    </row>
    <row r="13" spans="1:19" ht="15.75">
      <c r="A13" s="19" t="s">
        <v>10</v>
      </c>
      <c r="B13" s="21">
        <f>10000000*6900</f>
        <v>69000000000</v>
      </c>
      <c r="N13"/>
      <c r="O13"/>
      <c r="P13"/>
      <c r="Q13"/>
      <c r="R13"/>
      <c r="S13"/>
    </row>
    <row r="14" spans="1:19" ht="15.75">
      <c r="A14" s="19" t="s">
        <v>11</v>
      </c>
      <c r="B14" s="21">
        <f>29000000*6900</f>
        <v>200100000000</v>
      </c>
      <c r="F14" t="s">
        <v>35</v>
      </c>
      <c r="N14"/>
      <c r="O14"/>
      <c r="P14"/>
      <c r="Q14"/>
      <c r="R14"/>
      <c r="S14"/>
    </row>
    <row r="15" spans="1:19" ht="15.75">
      <c r="A15" s="19" t="s">
        <v>12</v>
      </c>
      <c r="B15" s="23">
        <v>0.29</v>
      </c>
      <c r="F15" t="s">
        <v>36</v>
      </c>
      <c r="H15" t="s">
        <v>41</v>
      </c>
      <c r="I15">
        <v>4</v>
      </c>
      <c r="N15"/>
      <c r="O15"/>
      <c r="P15"/>
      <c r="Q15"/>
      <c r="R15"/>
      <c r="S15"/>
    </row>
    <row r="16" spans="1:19" ht="15.75">
      <c r="A16" s="20" t="s">
        <v>13</v>
      </c>
      <c r="B16" s="25">
        <v>0.29</v>
      </c>
      <c r="F16" t="s">
        <v>32</v>
      </c>
      <c r="G16" t="s">
        <v>39</v>
      </c>
      <c r="H16" t="s">
        <v>40</v>
      </c>
      <c r="I16" t="s">
        <v>33</v>
      </c>
      <c r="J16" t="s">
        <v>34</v>
      </c>
      <c r="N16"/>
      <c r="O16"/>
      <c r="P16"/>
      <c r="Q16"/>
      <c r="R16"/>
      <c r="S16"/>
    </row>
    <row r="17" spans="1:19" ht="15.75">
      <c r="A17" s="5" t="s">
        <v>27</v>
      </c>
      <c r="B17" s="6">
        <f>1/((1-vone^2)/Eone+(1-vtwo^2)/Etwo)</f>
        <v>56018880126.31543</v>
      </c>
      <c r="F17">
        <v>0.125</v>
      </c>
      <c r="G17">
        <v>76</v>
      </c>
      <c r="H17" s="26">
        <f aca="true" t="shared" si="0" ref="H17:H22">G17/F$25</f>
        <v>6.333333333333333</v>
      </c>
      <c r="I17">
        <v>1</v>
      </c>
      <c r="J17" s="26">
        <f aca="true" t="shared" si="1" ref="J17:J22">I17/F17</f>
        <v>8</v>
      </c>
      <c r="N17"/>
      <c r="O17"/>
      <c r="P17"/>
      <c r="Q17"/>
      <c r="R17"/>
      <c r="S17"/>
    </row>
    <row r="18" spans="1:19" ht="15.75">
      <c r="A18" s="5" t="s">
        <v>28</v>
      </c>
      <c r="B18" s="10">
        <f>1/(1/Ronemaj+1/Ronemin+1/Rtwomaj+1/Rtwomin)</f>
        <v>0.0008264462803087222</v>
      </c>
      <c r="F18">
        <v>0.25</v>
      </c>
      <c r="G18">
        <v>128</v>
      </c>
      <c r="H18" s="26">
        <f t="shared" si="0"/>
        <v>10.666666666666666</v>
      </c>
      <c r="I18">
        <v>5</v>
      </c>
      <c r="J18" s="26">
        <f t="shared" si="1"/>
        <v>20</v>
      </c>
      <c r="N18"/>
      <c r="O18"/>
      <c r="P18"/>
      <c r="Q18"/>
      <c r="R18"/>
      <c r="S18"/>
    </row>
    <row r="19" spans="1:19" ht="15.75">
      <c r="A19" s="5" t="s">
        <v>14</v>
      </c>
      <c r="B19" s="10">
        <f>re*SQRT((1/Ronemaj-1/Ronemin)^2+(1/Rtwomaj-1/Rtwomin)^2+2*(1/Ronemaj-1/Ronemin)*(1/Rtwomaj-1/Rtwomin)*COS(2*phi*PI()/180))</f>
        <v>0.9834710727409333</v>
      </c>
      <c r="F19">
        <v>0.375</v>
      </c>
      <c r="G19">
        <v>220</v>
      </c>
      <c r="H19" s="26">
        <f t="shared" si="0"/>
        <v>18.333333333333332</v>
      </c>
      <c r="I19">
        <v>10</v>
      </c>
      <c r="J19" s="26">
        <f t="shared" si="1"/>
        <v>26.666666666666668</v>
      </c>
      <c r="N19"/>
      <c r="O19"/>
      <c r="P19"/>
      <c r="Q19"/>
      <c r="R19"/>
      <c r="S19"/>
    </row>
    <row r="20" spans="1:19" ht="15.75">
      <c r="A20" s="5" t="s">
        <v>15</v>
      </c>
      <c r="B20" s="10">
        <f>ACOS(B19)</f>
        <v>0.1820695651280939</v>
      </c>
      <c r="F20">
        <v>0.5</v>
      </c>
      <c r="G20">
        <v>288</v>
      </c>
      <c r="H20" s="26">
        <f t="shared" si="0"/>
        <v>24</v>
      </c>
      <c r="I20">
        <v>18</v>
      </c>
      <c r="J20" s="26">
        <f t="shared" si="1"/>
        <v>36</v>
      </c>
      <c r="N20"/>
      <c r="O20"/>
      <c r="P20"/>
      <c r="Q20"/>
      <c r="R20"/>
      <c r="S20"/>
    </row>
    <row r="21" spans="1:19" ht="15.75">
      <c r="A21" s="5" t="s">
        <v>16</v>
      </c>
      <c r="B21" s="11">
        <f>1.939*2.71831^(-5.26*theta_1)+1.78*2.71831^(-1.09*theta_1)+0.723/theta_1+0.221</f>
        <v>6.395741469915325</v>
      </c>
      <c r="F21">
        <v>0.75</v>
      </c>
      <c r="G21">
        <v>420</v>
      </c>
      <c r="H21" s="26">
        <f t="shared" si="0"/>
        <v>35</v>
      </c>
      <c r="I21">
        <v>38</v>
      </c>
      <c r="J21" s="26">
        <f t="shared" si="1"/>
        <v>50.666666666666664</v>
      </c>
      <c r="N21"/>
      <c r="O21"/>
      <c r="P21"/>
      <c r="Q21"/>
      <c r="R21"/>
      <c r="S21"/>
    </row>
    <row r="22" spans="1:19" ht="15.75">
      <c r="A22" s="5" t="s">
        <v>17</v>
      </c>
      <c r="B22" s="11">
        <f>35.228*2.71831^(-0.98*theta_1)-32.424*2.71831^(-1.0475*theta_1)+1.486*theta_1-2.634</f>
        <v>0.3136586379543518</v>
      </c>
      <c r="F22">
        <v>1</v>
      </c>
      <c r="G22">
        <v>546</v>
      </c>
      <c r="H22" s="26">
        <f t="shared" si="0"/>
        <v>45.5</v>
      </c>
      <c r="I22">
        <v>64</v>
      </c>
      <c r="J22" s="26">
        <f t="shared" si="1"/>
        <v>64</v>
      </c>
      <c r="N22"/>
      <c r="O22"/>
      <c r="P22"/>
      <c r="Q22"/>
      <c r="R22"/>
      <c r="S22"/>
    </row>
    <row r="23" spans="1:19" ht="15.75">
      <c r="A23" s="5" t="s">
        <v>18</v>
      </c>
      <c r="B23" s="11">
        <f>-0.214*2.71831^(-4.95*theta_1)-0.179*theta_1^2+0.555*theta_1+0.319</f>
        <v>0.3272179818894805</v>
      </c>
      <c r="N23"/>
      <c r="O23"/>
      <c r="P23"/>
      <c r="Q23"/>
      <c r="R23"/>
      <c r="S23"/>
    </row>
    <row r="24" spans="1:19" ht="15.75">
      <c r="A24" s="5" t="s">
        <v>19</v>
      </c>
      <c r="B24" s="6">
        <f>alpha*(1.5*F*re/Ee)^0.333333</f>
        <v>0.0004428425078472119</v>
      </c>
      <c r="F24" t="s">
        <v>37</v>
      </c>
      <c r="N24"/>
      <c r="O24"/>
      <c r="P24"/>
      <c r="Q24"/>
      <c r="R24"/>
      <c r="S24"/>
    </row>
    <row r="25" spans="1:17" s="1" customFormat="1" ht="15.75">
      <c r="A25" s="5" t="s">
        <v>20</v>
      </c>
      <c r="B25" s="6">
        <f>beta*(1.5*F*re/Ee)^0.333333</f>
        <v>2.1717791204197122E-05</v>
      </c>
      <c r="C25"/>
      <c r="D25"/>
      <c r="E25"/>
      <c r="F25">
        <f>I15*6/2</f>
        <v>12</v>
      </c>
      <c r="G25" t="s">
        <v>38</v>
      </c>
      <c r="H25"/>
      <c r="I25"/>
      <c r="J25"/>
      <c r="K25"/>
      <c r="L25"/>
      <c r="M25"/>
      <c r="N25"/>
      <c r="O25"/>
      <c r="P25"/>
      <c r="Q25"/>
    </row>
    <row r="26" spans="1:17" s="1" customFormat="1" ht="15.75">
      <c r="A26" s="5" t="s">
        <v>21</v>
      </c>
      <c r="B26" s="16">
        <f>3*F/(2*PI()*cc*dd)</f>
        <v>744676571.1656976</v>
      </c>
      <c r="C26" s="14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1" customFormat="1" ht="15.75">
      <c r="A27" s="5" t="s">
        <v>22</v>
      </c>
      <c r="B27" s="8">
        <f>B26/B12</f>
        <v>1.0792414074865182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2" ht="15.75">
      <c r="A28" s="5" t="s">
        <v>23</v>
      </c>
      <c r="B28" s="6"/>
    </row>
    <row r="29" spans="1:3" ht="15.75">
      <c r="A29" s="5" t="s">
        <v>24</v>
      </c>
      <c r="B29" s="7">
        <f>1000000*lambda*(2*F^2/(3*re*Ee^2))^0.33333</f>
        <v>1.2655924712557545</v>
      </c>
      <c r="C29">
        <f>B29/1000000</f>
        <v>1.2655924712557545E-06</v>
      </c>
    </row>
    <row r="30" spans="1:2" ht="15.75">
      <c r="A30" s="5" t="s">
        <v>25</v>
      </c>
      <c r="B30" s="9">
        <f>B10/B29</f>
        <v>11.85215647270452</v>
      </c>
    </row>
  </sheetData>
  <sheetProtection password="E53C"/>
  <printOptions gridLines="1" headings="1"/>
  <pageMargins left="0.75" right="0.75" top="1" bottom="1" header="0.5" footer="0.5"/>
  <pageSetup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pwilloughby</cp:lastModifiedBy>
  <cp:lastPrinted>1998-02-03T04:28:52Z</cp:lastPrinted>
  <dcterms:created xsi:type="dcterms:W3CDTF">1997-07-29T15:37:14Z</dcterms:created>
  <dcterms:modified xsi:type="dcterms:W3CDTF">2000-10-18T14:47:31Z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