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495" windowWidth="11850" windowHeight="7650" activeTab="0"/>
  </bookViews>
  <sheets>
    <sheet name="Hcontact.xls" sheetId="1" r:id="rId1"/>
  </sheets>
  <definedNames>
    <definedName name="a">'Hcontact.xls'!$B$45</definedName>
    <definedName name="A0age">'Hcontact.xls'!$F$24</definedName>
    <definedName name="A0alt">'Hcontact.xls'!#REF!</definedName>
    <definedName name="A1age">'Hcontact.xls'!$F$25</definedName>
    <definedName name="A1alt">'Hcontact.xls'!$F$18</definedName>
    <definedName name="A2age">'Hcontact.xls'!$F$30</definedName>
    <definedName name="A2alt">'Hcontact.xls'!$F$19</definedName>
    <definedName name="A3age">'Hcontact.xls'!$F$31</definedName>
    <definedName name="A3alt">'Hcontact.xls'!$F$20</definedName>
    <definedName name="A4age">'Hcontact.xls'!$F$32</definedName>
    <definedName name="A4alt">'Hcontact.xls'!$F$21</definedName>
    <definedName name="A5age">'Hcontact.xls'!$F$33</definedName>
    <definedName name="A5alt">'Hcontact.xls'!$F$22</definedName>
    <definedName name="alpha">'Hcontact.xls'!$D$35</definedName>
    <definedName name="B">'Hcontact.xls'!$B$15</definedName>
    <definedName name="b_1">'Hcontact.xls'!$D$16</definedName>
    <definedName name="b_2">'Hcontact.xls'!$D$18</definedName>
    <definedName name="B0age">'Hcontact.xls'!$H$24</definedName>
    <definedName name="B0alt">'Hcontact.xls'!#REF!</definedName>
    <definedName name="B1age">'Hcontact.xls'!$H$25</definedName>
    <definedName name="B1alt">'Hcontact.xls'!$H$18</definedName>
    <definedName name="B2age">'Hcontact.xls'!$H$30</definedName>
    <definedName name="B2alt">'Hcontact.xls'!$H$19</definedName>
    <definedName name="B3age">'Hcontact.xls'!$H$31</definedName>
    <definedName name="B3alt">'Hcontact.xls'!$H$20</definedName>
    <definedName name="B4age">'Hcontact.xls'!$H$32</definedName>
    <definedName name="B4alt">'Hcontact.xls'!$H$21</definedName>
    <definedName name="B5age">'Hcontact.xls'!$H$33</definedName>
    <definedName name="B5alt">'Hcontact.xls'!$H$22</definedName>
    <definedName name="beta">'Hcontact.xls'!$D$36</definedName>
    <definedName name="cc">'Hcontact.xls'!$B$38</definedName>
    <definedName name="costheta">'Hcontact.xls'!$D$33</definedName>
    <definedName name="d_0">'Hcontact.xls'!$B$14</definedName>
    <definedName name="d_1">'Hcontact.xls'!$B$5</definedName>
    <definedName name="d_2">'Hcontact.xls'!$B$6</definedName>
    <definedName name="dd">'Hcontact.xls'!$B$39</definedName>
    <definedName name="defl_1">'Hcontact.xls'!$B$17</definedName>
    <definedName name="defl_2">'Hcontact.xls'!$B$18</definedName>
    <definedName name="DmDm">'Hcontact.xls'!#REF!</definedName>
    <definedName name="do">'Hcontact.xls'!$B$14</definedName>
    <definedName name="E1e">'Hcontact.xls'!$D$10</definedName>
    <definedName name="E2e">'Hcontact.xls'!$D$11</definedName>
    <definedName name="Ebar">'Hcontact.xls'!$B$10</definedName>
    <definedName name="Ee">'Hcontact.xls'!$D$9</definedName>
    <definedName name="Eone">'Hcontact.xls'!$B$9</definedName>
    <definedName name="Eroller">'Hcontact.xls'!$B$9</definedName>
    <definedName name="Etwo">'Hcontact.xls'!$B$10</definedName>
    <definedName name="F">'Hcontact.xls'!$B$8</definedName>
    <definedName name="Fpercent">'Hcontact.xls'!#REF!</definedName>
    <definedName name="L">'Hcontact.xls'!$B$7</definedName>
    <definedName name="L0age">'Hcontact.xls'!$J$24</definedName>
    <definedName name="L0alt">'Hcontact.xls'!#REF!</definedName>
    <definedName name="L1age">'Hcontact.xls'!$J$25</definedName>
    <definedName name="L1alt">'Hcontact.xls'!$J$18</definedName>
    <definedName name="L2age">'Hcontact.xls'!$J$30</definedName>
    <definedName name="L2alt">'Hcontact.xls'!$J$19</definedName>
    <definedName name="L3age">'Hcontact.xls'!$J$31</definedName>
    <definedName name="L3alt">'Hcontact.xls'!$J$20</definedName>
    <definedName name="L4age">'Hcontact.xls'!$J$32</definedName>
    <definedName name="L4alt">'Hcontact.xls'!$J$21</definedName>
    <definedName name="L5age">'Hcontact.xls'!$J$33</definedName>
    <definedName name="L5alt">'Hcontact.xls'!$J$22</definedName>
    <definedName name="lambda">'Hcontact.xls'!$D$37</definedName>
    <definedName name="mu">'Hcontact.xls'!#REF!</definedName>
    <definedName name="phi">'Hcontact.xls'!$B$36</definedName>
    <definedName name="Phi__degrees">'Hcontact.xls'!$B$36</definedName>
    <definedName name="Pmax">'Hcontact.xls'!$B$32</definedName>
    <definedName name="_xlnm.Print_Area" localSheetId="0">'Hcontact.xls'!$A$1:$B$24</definedName>
    <definedName name="q">'Hcontact.xls'!$B$40</definedName>
    <definedName name="qcyl">'Hcontact.xls'!$B$16</definedName>
    <definedName name="Ra">'Hcontact.xls'!$B$23</definedName>
    <definedName name="re">'Hcontact.xls'!$B$37</definedName>
    <definedName name="Ronemaj">'Hcontact.xls'!$B$32</definedName>
    <definedName name="Ronemin">'Hcontact.xls'!$B$33</definedName>
    <definedName name="Rtwomaj">'Hcontact.xls'!$B$34</definedName>
    <definedName name="Rtwomin">'Hcontact.xls'!$B$35</definedName>
    <definedName name="sigult">'Hcontact.xls'!$B$13</definedName>
    <definedName name="theta_1">'Hcontact.xls'!$D$34</definedName>
    <definedName name="tm">'Hcontact.xls'!#REF!</definedName>
    <definedName name="vbar">'Hcontact.xls'!$B$12</definedName>
    <definedName name="vone">'Hcontact.xls'!$B$11</definedName>
    <definedName name="vroller">'Hcontact.xls'!$B$11</definedName>
    <definedName name="vtwo">'Hcontact.xls'!$B$12</definedName>
    <definedName name="Xpercent">'Hcontact.xls'!#REF!</definedName>
    <definedName name="zinc">'Hcontact.xls'!$B$53</definedName>
  </definedNames>
  <calcPr fullCalcOnLoad="1"/>
</workbook>
</file>

<file path=xl/sharedStrings.xml><?xml version="1.0" encoding="utf-8"?>
<sst xmlns="http://schemas.openxmlformats.org/spreadsheetml/2006/main" count="63" uniqueCount="63">
  <si>
    <t>Ronemaj</t>
  </si>
  <si>
    <t>Ronemin</t>
  </si>
  <si>
    <t>Rtwomaj</t>
  </si>
  <si>
    <t>Rtwomin</t>
  </si>
  <si>
    <t>Phi (degrees)</t>
  </si>
  <si>
    <t>Poisson's ratio vone</t>
  </si>
  <si>
    <t>Poisson's ratio vtwo</t>
  </si>
  <si>
    <t>Equivelent radius Re</t>
  </si>
  <si>
    <t>costheta</t>
  </si>
  <si>
    <t>theta</t>
  </si>
  <si>
    <t>alpha</t>
  </si>
  <si>
    <t>beta</t>
  </si>
  <si>
    <t>lambda</t>
  </si>
  <si>
    <t>ellipse c</t>
  </si>
  <si>
    <t>ellipse d</t>
  </si>
  <si>
    <t>Stress ratio (must be less than 1)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</si>
  <si>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</si>
  <si>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</si>
  <si>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</si>
  <si>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</si>
  <si>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</si>
  <si>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</si>
  <si>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</si>
  <si>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Depth at maximum shear stress/a</t>
  </si>
  <si>
    <t>Max shear stress/ultimate tensile</t>
  </si>
  <si>
    <t>To determine Hertz contact stress between two cylinders</t>
  </si>
  <si>
    <t>Conact area half-width b_1</t>
  </si>
  <si>
    <t>Conact area half-width b_2</t>
  </si>
  <si>
    <t>Smaller cylinder 1 diameter, d_1 (mm)</t>
  </si>
  <si>
    <t>Larger cylinder 2 (or flat plane) diameter, d_2 (mm)</t>
  </si>
  <si>
    <t>Length, L (mm)</t>
  </si>
  <si>
    <t>Applied load, F (N)</t>
  </si>
  <si>
    <t>Elastic modulus Eone (N/mm^2)</t>
  </si>
  <si>
    <t>Elastic modulus Etwo (N/mm^2)</t>
  </si>
  <si>
    <t>Equivelent modulus, Ee (N/mm^2)</t>
  </si>
  <si>
    <t>Ultimate tensile stress, sigult (N/mm^2)</t>
  </si>
  <si>
    <t>Contact pressure, qcyl (N/mm^2)</t>
  </si>
  <si>
    <t>Total relative displacement of the cylinder's centers, dcyls (mm)</t>
  </si>
  <si>
    <t>Deflection motion of d_1 center, defl_1 (mm)</t>
  </si>
  <si>
    <t>Deflection motion of d_2 center, defl_2 (mm)</t>
  </si>
  <si>
    <t>For a cylinder on a flat plate</t>
  </si>
  <si>
    <t>z/b_1</t>
  </si>
  <si>
    <t>Stress factor: Must be less than 1</t>
  </si>
  <si>
    <t>Rectangular contact zone width, 2b (mm)</t>
  </si>
  <si>
    <t>Equivelent modulus, E1e (N/mm^2)</t>
  </si>
  <si>
    <t>Equivelent modulus, E2e (N/mm^2)</t>
  </si>
  <si>
    <t>For d_1 pressed against a rigid flat plate</t>
  </si>
  <si>
    <t>For d_2 pressed against a rigid flat plate</t>
  </si>
  <si>
    <t>Depth below contact surface for evaluating deflection, do</t>
  </si>
  <si>
    <t>Manufacturing issues</t>
  </si>
  <si>
    <t>Surface roughness, Ra (mm)</t>
  </si>
  <si>
    <t>Potential induced contact width, Bra (mm)</t>
  </si>
  <si>
    <t>By Alex Slocum, last modified 2/10/2004 by Alex Slocum</t>
  </si>
  <si>
    <t>Hertz_contact_line.xls</t>
  </si>
  <si>
    <t>Compare to sphere-on-flat-plate of same diameter: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</si>
  <si>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</si>
  <si>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>s</t>
    </r>
    <r>
      <rPr>
        <vertAlign val="subscript"/>
        <sz val="8"/>
        <rFont val="Times New Roman"/>
        <family val="1"/>
      </rPr>
      <t>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</si>
  <si>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</si>
  <si>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z/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</si>
  <si>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yx/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</si>
  <si>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</si>
  <si>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</si>
  <si>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t>Maximum shear stress/(ultimate tensile/2)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</si>
</sst>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Geneva"/>
      <family val="0"/>
    </font>
    <font>
      <sz val="8"/>
      <name val="Symbol"/>
      <family val="1"/>
    </font>
    <font>
      <vertAlign val="sub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/>
    </xf>
    <xf numFmtId="11" fontId="11" fillId="0" borderId="1" xfId="0" applyNumberFormat="1" applyFont="1" applyFill="1" applyBorder="1" applyAlignment="1">
      <alignment/>
    </xf>
    <xf numFmtId="11" fontId="13" fillId="0" borderId="1" xfId="0" applyNumberFormat="1" applyFont="1" applyFill="1" applyBorder="1" applyAlignment="1">
      <alignment/>
    </xf>
    <xf numFmtId="11" fontId="1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" fontId="1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7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indent="1"/>
    </xf>
    <xf numFmtId="166" fontId="13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/>
    </xf>
    <xf numFmtId="167" fontId="13" fillId="2" borderId="1" xfId="0" applyNumberFormat="1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167" fontId="1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66" fontId="13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165" fontId="13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State of Stress below a cylinder on a flat plate</a:t>
            </a:r>
          </a:p>
        </c:rich>
      </c:tx>
      <c:layout>
        <c:manualLayout>
          <c:xMode val="factor"/>
          <c:yMode val="factor"/>
          <c:x val="0.010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025"/>
          <c:w val="0.94275"/>
          <c:h val="0.8285"/>
        </c:manualLayout>
      </c:layout>
      <c:scatterChart>
        <c:scatterStyle val="smooth"/>
        <c:varyColors val="0"/>
        <c:ser>
          <c:idx val="2"/>
          <c:order val="0"/>
          <c:tx>
            <c:strRef>
              <c:f>'Hcontact.xls'!$F$54</c:f>
              <c:strCache>
                <c:ptCount val="1"/>
                <c:pt idx="0">
                  <c:v>tyx/sultimate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'Hcontact.xls'!$B$55:$B$105</c:f>
              <c:numCache>
                <c:ptCount val="51"/>
                <c:pt idx="0">
                  <c:v>0</c:v>
                </c:pt>
                <c:pt idx="1">
                  <c:v>0.06350643919096444</c:v>
                </c:pt>
                <c:pt idx="2">
                  <c:v>0.12701287838192887</c:v>
                </c:pt>
                <c:pt idx="3">
                  <c:v>0.1905193175728933</c:v>
                </c:pt>
                <c:pt idx="4">
                  <c:v>0.25402575676385775</c:v>
                </c:pt>
                <c:pt idx="5">
                  <c:v>0.3175321959548222</c:v>
                </c:pt>
                <c:pt idx="6">
                  <c:v>0.3810386351457867</c:v>
                </c:pt>
                <c:pt idx="7">
                  <c:v>0.4445450743367511</c:v>
                </c:pt>
                <c:pt idx="8">
                  <c:v>0.5080515135277156</c:v>
                </c:pt>
                <c:pt idx="9">
                  <c:v>0.57155795271868</c:v>
                </c:pt>
                <c:pt idx="10">
                  <c:v>0.6350643919096445</c:v>
                </c:pt>
                <c:pt idx="11">
                  <c:v>0.6985708311006089</c:v>
                </c:pt>
                <c:pt idx="12">
                  <c:v>0.7620772702915733</c:v>
                </c:pt>
                <c:pt idx="13">
                  <c:v>0.8255837094825378</c:v>
                </c:pt>
                <c:pt idx="14">
                  <c:v>0.8890901486735022</c:v>
                </c:pt>
                <c:pt idx="15">
                  <c:v>0.9525965878644667</c:v>
                </c:pt>
                <c:pt idx="16">
                  <c:v>1.0161030270554312</c:v>
                </c:pt>
                <c:pt idx="17">
                  <c:v>1.0796094662463955</c:v>
                </c:pt>
                <c:pt idx="18">
                  <c:v>1.14311590543736</c:v>
                </c:pt>
                <c:pt idx="19">
                  <c:v>1.2066223446283244</c:v>
                </c:pt>
                <c:pt idx="20">
                  <c:v>1.270128783819289</c:v>
                </c:pt>
                <c:pt idx="21">
                  <c:v>1.3336352230102535</c:v>
                </c:pt>
                <c:pt idx="22">
                  <c:v>1.3971416622012178</c:v>
                </c:pt>
                <c:pt idx="23">
                  <c:v>1.4606481013921824</c:v>
                </c:pt>
                <c:pt idx="24">
                  <c:v>1.5241545405831467</c:v>
                </c:pt>
                <c:pt idx="25">
                  <c:v>1.5876609797741112</c:v>
                </c:pt>
                <c:pt idx="26">
                  <c:v>1.6511674189650756</c:v>
                </c:pt>
                <c:pt idx="27">
                  <c:v>1.71467385815604</c:v>
                </c:pt>
                <c:pt idx="28">
                  <c:v>1.7781802973470042</c:v>
                </c:pt>
                <c:pt idx="29">
                  <c:v>1.8416867365379683</c:v>
                </c:pt>
                <c:pt idx="30">
                  <c:v>1.9051931757289327</c:v>
                </c:pt>
                <c:pt idx="31">
                  <c:v>1.968699614919897</c:v>
                </c:pt>
                <c:pt idx="32">
                  <c:v>2.032206054110861</c:v>
                </c:pt>
                <c:pt idx="33">
                  <c:v>2.0957124933018254</c:v>
                </c:pt>
                <c:pt idx="34">
                  <c:v>2.1592189324927897</c:v>
                </c:pt>
                <c:pt idx="35">
                  <c:v>2.222725371683754</c:v>
                </c:pt>
                <c:pt idx="36">
                  <c:v>2.2862318108747184</c:v>
                </c:pt>
                <c:pt idx="37">
                  <c:v>2.3497382500656827</c:v>
                </c:pt>
                <c:pt idx="38">
                  <c:v>2.413244689256647</c:v>
                </c:pt>
                <c:pt idx="39">
                  <c:v>2.4767511284476114</c:v>
                </c:pt>
                <c:pt idx="40">
                  <c:v>2.5402575676385757</c:v>
                </c:pt>
                <c:pt idx="41">
                  <c:v>2.60376400682954</c:v>
                </c:pt>
                <c:pt idx="42">
                  <c:v>2.6672704460205043</c:v>
                </c:pt>
                <c:pt idx="43">
                  <c:v>2.730776885211468</c:v>
                </c:pt>
                <c:pt idx="44">
                  <c:v>2.7942833244024325</c:v>
                </c:pt>
                <c:pt idx="45">
                  <c:v>2.857789763593397</c:v>
                </c:pt>
                <c:pt idx="46">
                  <c:v>2.921296202784361</c:v>
                </c:pt>
                <c:pt idx="47">
                  <c:v>2.9848026419753255</c:v>
                </c:pt>
                <c:pt idx="48">
                  <c:v>3.04830908116629</c:v>
                </c:pt>
                <c:pt idx="49">
                  <c:v>3.111815520357254</c:v>
                </c:pt>
                <c:pt idx="50">
                  <c:v>3.1753219595482185</c:v>
                </c:pt>
              </c:numCache>
            </c:numRef>
          </c:xVal>
          <c:yVal>
            <c:numRef>
              <c:f>'Hcontact.xls'!$H$55:$H$105</c:f>
              <c:numCache>
                <c:ptCount val="51"/>
                <c:pt idx="0">
                  <c:v>0</c:v>
                </c:pt>
                <c:pt idx="1">
                  <c:v>-0.09919699376473823</c:v>
                </c:pt>
                <c:pt idx="2">
                  <c:v>-0.1851295035640519</c:v>
                </c:pt>
                <c:pt idx="3">
                  <c:v>-0.2582644187000056</c:v>
                </c:pt>
                <c:pt idx="4">
                  <c:v>-0.31933539714380393</c:v>
                </c:pt>
                <c:pt idx="5">
                  <c:v>-0.3692841735650767</c:v>
                </c:pt>
                <c:pt idx="6">
                  <c:v>-0.4091921657815542</c:v>
                </c:pt>
                <c:pt idx="7">
                  <c:v>-0.44021170796848225</c:v>
                </c:pt>
                <c:pt idx="8">
                  <c:v>-0.4635044770775016</c:v>
                </c:pt>
                <c:pt idx="9">
                  <c:v>-0.48019189506674775</c:v>
                </c:pt>
                <c:pt idx="10">
                  <c:v>-0.49131940469885316</c:v>
                </c:pt>
                <c:pt idx="11">
                  <c:v>-0.4978341868121616</c:v>
                </c:pt>
                <c:pt idx="12">
                  <c:v>-0.5005743960210202</c:v>
                </c:pt>
                <c:pt idx="13">
                  <c:v>-0.5002673151680355</c:v>
                </c:pt>
                <c:pt idx="14">
                  <c:v>-0.49753376984276965</c:v>
                </c:pt>
                <c:pt idx="15">
                  <c:v>-0.49289646073072496</c:v>
                </c:pt>
                <c:pt idx="16">
                  <c:v>-0.4867903548942012</c:v>
                </c:pt>
                <c:pt idx="17">
                  <c:v>-0.4795737831614584</c:v>
                </c:pt>
                <c:pt idx="18">
                  <c:v>-0.47153933874116405</c:v>
                </c:pt>
                <c:pt idx="19">
                  <c:v>-0.4629240288715636</c:v>
                </c:pt>
                <c:pt idx="20">
                  <c:v>-0.45391839346549256</c:v>
                </c:pt>
                <c:pt idx="21">
                  <c:v>-0.44467448425918304</c:v>
                </c:pt>
                <c:pt idx="22">
                  <c:v>-0.43531271233225854</c:v>
                </c:pt>
                <c:pt idx="23">
                  <c:v>-0.42592763842742387</c:v>
                </c:pt>
                <c:pt idx="24">
                  <c:v>-0.4165928140874241</c:v>
                </c:pt>
                <c:pt idx="25">
                  <c:v>-0.407364793759183</c:v>
                </c:pt>
                <c:pt idx="26">
                  <c:v>-0.3982864370633945</c:v>
                </c:pt>
                <c:pt idx="27">
                  <c:v>-0.38938961216559614</c:v>
                </c:pt>
                <c:pt idx="28">
                  <c:v>-0.3806973994038025</c:v>
                </c:pt>
                <c:pt idx="29">
                  <c:v>-0.3722258813956643</c:v>
                </c:pt>
                <c:pt idx="30">
                  <c:v>-0.36398559315398743</c:v>
                </c:pt>
                <c:pt idx="31">
                  <c:v>-0.3559826940277962</c:v>
                </c:pt>
                <c:pt idx="32">
                  <c:v>-0.34821991289354876</c:v>
                </c:pt>
                <c:pt idx="33">
                  <c:v>-0.3406973090383552</c:v>
                </c:pt>
                <c:pt idx="34">
                  <c:v>-0.333412883555538</c:v>
                </c:pt>
                <c:pt idx="35">
                  <c:v>-0.32636306969268714</c:v>
                </c:pt>
                <c:pt idx="36">
                  <c:v>-0.319543125304144</c:v>
                </c:pt>
                <c:pt idx="37">
                  <c:v>-0.3129474462088579</c:v>
                </c:pt>
                <c:pt idx="38">
                  <c:v>-0.30656981569444064</c:v>
                </c:pt>
                <c:pt idx="39">
                  <c:v>-0.3004036025070395</c:v>
                </c:pt>
                <c:pt idx="40">
                  <c:v>-0.29444191730947333</c:v>
                </c:pt>
                <c:pt idx="41">
                  <c:v>-0.28867773567910315</c:v>
                </c:pt>
                <c:pt idx="42">
                  <c:v>-0.2831039941698181</c:v>
                </c:pt>
                <c:pt idx="43">
                  <c:v>-0.27771366471141273</c:v>
                </c:pt>
                <c:pt idx="44">
                  <c:v>-0.2724998116082737</c:v>
                </c:pt>
                <c:pt idx="45">
                  <c:v>-0.26745563458208343</c:v>
                </c:pt>
                <c:pt idx="46">
                  <c:v>-0.2625745006428193</c:v>
                </c:pt>
                <c:pt idx="47">
                  <c:v>-0.25784996703855717</c:v>
                </c:pt>
                <c:pt idx="48">
                  <c:v>-0.2532757971030214</c:v>
                </c:pt>
                <c:pt idx="49">
                  <c:v>-0.24884597047075743</c:v>
                </c:pt>
                <c:pt idx="50">
                  <c:v>-0.24455468884735312</c:v>
                </c:pt>
              </c:numCache>
            </c:numRef>
          </c:yVal>
          <c:smooth val="1"/>
        </c:ser>
        <c:axId val="17311478"/>
        <c:axId val="42956055"/>
      </c:scatterChart>
      <c:valAx>
        <c:axId val="1731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below surface/contact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56055"/>
        <c:crosses val="autoZero"/>
        <c:crossBetween val="midCat"/>
        <c:dispUnits/>
      </c:valAx>
      <c:valAx>
        <c:axId val="42956055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  <a:r>
                  <a:rPr lang="en-US" cap="none" sz="1000" b="1" i="0" u="none" baseline="-25000"/>
                  <a:t>zy</a:t>
                </a:r>
                <a:r>
                  <a:rPr lang="en-US" cap="none" sz="1000" b="1" i="0" u="none" baseline="0"/>
                  <a:t> shear stress/ultimate tensile 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1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19050</xdr:rowOff>
    </xdr:from>
    <xdr:to>
      <xdr:col>14</xdr:col>
      <xdr:colOff>219075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7934325" y="161925"/>
        <a:ext cx="84391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17</xdr:row>
      <xdr:rowOff>47625</xdr:rowOff>
    </xdr:from>
    <xdr:to>
      <xdr:col>3</xdr:col>
      <xdr:colOff>95250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486025"/>
          <a:ext cx="247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43.875" style="37" customWidth="1"/>
    <col min="2" max="2" width="8.75390625" style="1" customWidth="1"/>
    <col min="3" max="3" width="32.25390625" style="1" customWidth="1"/>
    <col min="4" max="5" width="11.75390625" style="1" customWidth="1"/>
    <col min="6" max="6" width="12.25390625" style="1" customWidth="1"/>
    <col min="7" max="7" width="12.375" style="1" customWidth="1"/>
    <col min="8" max="13" width="11.375" style="1" customWidth="1"/>
    <col min="14" max="14" width="10.75390625" style="1" customWidth="1"/>
    <col min="15" max="15" width="12.125" style="1" customWidth="1"/>
    <col min="16" max="19" width="10.75390625" style="1" customWidth="1"/>
    <col min="20" max="16384" width="11.375" style="1" customWidth="1"/>
  </cols>
  <sheetData>
    <row r="1" spans="1:2" ht="11.25">
      <c r="A1" s="45" t="s">
        <v>53</v>
      </c>
      <c r="B1" s="45"/>
    </row>
    <row r="2" spans="1:2" ht="11.25">
      <c r="A2" s="46" t="s">
        <v>25</v>
      </c>
      <c r="B2" s="46"/>
    </row>
    <row r="3" spans="1:2" ht="11.25">
      <c r="A3" s="47" t="s">
        <v>52</v>
      </c>
      <c r="B3" s="47"/>
    </row>
    <row r="4" spans="1:2" ht="12" thickBot="1">
      <c r="A4" s="44" t="s">
        <v>55</v>
      </c>
      <c r="B4" s="44"/>
    </row>
    <row r="5" spans="1:2" ht="11.25">
      <c r="A5" s="3" t="s">
        <v>28</v>
      </c>
      <c r="B5" s="4">
        <v>10</v>
      </c>
    </row>
    <row r="6" spans="1:2" ht="11.25">
      <c r="A6" s="2" t="s">
        <v>29</v>
      </c>
      <c r="B6" s="5">
        <v>100</v>
      </c>
    </row>
    <row r="7" spans="1:2" ht="11.25">
      <c r="A7" s="2" t="s">
        <v>30</v>
      </c>
      <c r="B7" s="6">
        <v>10</v>
      </c>
    </row>
    <row r="8" spans="1:2" ht="11.25">
      <c r="A8" s="7" t="s">
        <v>31</v>
      </c>
      <c r="B8" s="8">
        <v>8184.483233477545</v>
      </c>
    </row>
    <row r="9" spans="1:4" ht="11.25">
      <c r="A9" s="7" t="s">
        <v>32</v>
      </c>
      <c r="B9" s="9">
        <v>200000</v>
      </c>
      <c r="C9" s="7" t="s">
        <v>34</v>
      </c>
      <c r="D9" s="10">
        <f>1/((1-vone^2)/Eone+(1-vtwo^2)/Etwo)</f>
        <v>109182.22513374823</v>
      </c>
    </row>
    <row r="10" spans="1:4" ht="11.25">
      <c r="A10" s="7" t="s">
        <v>33</v>
      </c>
      <c r="B10" s="9">
        <f>Eone</f>
        <v>200000</v>
      </c>
      <c r="C10" s="7" t="s">
        <v>44</v>
      </c>
      <c r="D10" s="11">
        <f>(1/((1-vone^2)/Eone))</f>
        <v>218364.45026749646</v>
      </c>
    </row>
    <row r="11" spans="1:4" ht="11.25">
      <c r="A11" s="7" t="s">
        <v>5</v>
      </c>
      <c r="B11" s="12">
        <v>0.29</v>
      </c>
      <c r="C11" s="7" t="s">
        <v>45</v>
      </c>
      <c r="D11" s="11">
        <f>(1/((1-vtwo^2)/Etwo))</f>
        <v>218364.45026749646</v>
      </c>
    </row>
    <row r="12" spans="1:2" ht="11.25">
      <c r="A12" s="7" t="s">
        <v>6</v>
      </c>
      <c r="B12" s="12">
        <v>0.29</v>
      </c>
    </row>
    <row r="13" spans="1:2" ht="11.25">
      <c r="A13" s="7" t="s">
        <v>35</v>
      </c>
      <c r="B13" s="13">
        <v>1500</v>
      </c>
    </row>
    <row r="14" spans="1:2" ht="11.25">
      <c r="A14" s="2" t="s">
        <v>48</v>
      </c>
      <c r="B14" s="6">
        <v>300</v>
      </c>
    </row>
    <row r="15" spans="1:5" ht="11.25">
      <c r="A15" s="2" t="s">
        <v>43</v>
      </c>
      <c r="B15" s="14">
        <f>2*SQRT(2*F*d_1*d_2/(PI()*L*Ee*(d_1+d_2)))</f>
        <v>0.4165751657155968</v>
      </c>
      <c r="C15" s="15" t="s">
        <v>46</v>
      </c>
      <c r="D15" s="16"/>
      <c r="E15" s="17"/>
    </row>
    <row r="16" spans="1:5" ht="11.25">
      <c r="A16" s="2" t="s">
        <v>36</v>
      </c>
      <c r="B16" s="18">
        <f>2*F/(PI()*(B/2)*L)</f>
        <v>2501.543194055882</v>
      </c>
      <c r="C16" s="15" t="s">
        <v>26</v>
      </c>
      <c r="D16" s="19">
        <f>SQRT(2*F*d_1/(PI()*L*E1e))</f>
        <v>0.1544702056870817</v>
      </c>
      <c r="E16" s="20"/>
    </row>
    <row r="17" spans="1:5" ht="11.25">
      <c r="A17" s="2" t="s">
        <v>38</v>
      </c>
      <c r="B17" s="21">
        <f>(2*F)/(PI()*L*E1e)*(LN(2*d_1/b_1)-0.5)</f>
        <v>0.010411734097481796</v>
      </c>
      <c r="C17" s="15" t="s">
        <v>47</v>
      </c>
      <c r="D17" s="16"/>
      <c r="E17" s="17"/>
    </row>
    <row r="18" spans="1:5" ht="11.25">
      <c r="A18" s="22" t="s">
        <v>39</v>
      </c>
      <c r="B18" s="23">
        <f>IF(d_2&lt;1000,(2*F)/(PI()*L*E2e)*(LN(2*d_2/b_2)-0.5),(2*F)/(PI()*L*E2e)*(LN(2*do/b_1)-vtwo/(2*(1-vtwo))))</f>
        <v>0.01315883835959914</v>
      </c>
      <c r="C18" s="15" t="s">
        <v>27</v>
      </c>
      <c r="D18" s="19">
        <f>SQRT(2*F*d_2/(PI()*L*E2e))</f>
        <v>0.48847768060587293</v>
      </c>
      <c r="E18" s="20"/>
    </row>
    <row r="19" spans="1:2" ht="11.25">
      <c r="A19" s="22" t="s">
        <v>37</v>
      </c>
      <c r="B19" s="21">
        <f>defl_1+defl_2</f>
        <v>0.023570572457080934</v>
      </c>
    </row>
    <row r="20" spans="1:2" ht="11.25">
      <c r="A20" s="22" t="s">
        <v>42</v>
      </c>
      <c r="B20" s="22"/>
    </row>
    <row r="21" spans="1:2" ht="11.25">
      <c r="A21" s="24" t="s">
        <v>62</v>
      </c>
      <c r="B21" s="14">
        <f>0.3*qcyl/(sigult/2)</f>
        <v>1.0006172776223528</v>
      </c>
    </row>
    <row r="22" spans="1:2" ht="11.25">
      <c r="A22" s="42" t="s">
        <v>49</v>
      </c>
      <c r="B22" s="43"/>
    </row>
    <row r="23" spans="1:2" ht="11.25">
      <c r="A23" s="24" t="s">
        <v>50</v>
      </c>
      <c r="B23" s="6">
        <v>0.005</v>
      </c>
    </row>
    <row r="24" spans="1:2" ht="11.25">
      <c r="A24" s="24" t="s">
        <v>51</v>
      </c>
      <c r="B24" s="25">
        <f>SQRT(8*Ra*(d_1/2))</f>
        <v>0.4472135954999579</v>
      </c>
    </row>
    <row r="31" spans="1:2" ht="11.25">
      <c r="A31" s="6" t="s">
        <v>54</v>
      </c>
      <c r="B31" s="22"/>
    </row>
    <row r="32" spans="1:2" ht="11.25">
      <c r="A32" s="26" t="s">
        <v>0</v>
      </c>
      <c r="B32" s="13">
        <f>d_1/2</f>
        <v>5</v>
      </c>
    </row>
    <row r="33" spans="1:5" ht="11.25">
      <c r="A33" s="26" t="s">
        <v>1</v>
      </c>
      <c r="B33" s="13">
        <f>d_1/2</f>
        <v>5</v>
      </c>
      <c r="C33" s="27" t="s">
        <v>8</v>
      </c>
      <c r="D33" s="28">
        <f>re*SQRT((1/Ronemaj-1/Ronemin)^2+(1/Rtwomaj-1/Rtwomin)^2+2*(1/Ronemaj-1/Ronemin)*(1/Rtwomaj-1/Rtwomin)*COS(2*phi*PI()/180))</f>
        <v>0</v>
      </c>
      <c r="E33" s="29"/>
    </row>
    <row r="34" spans="1:5" ht="11.25">
      <c r="A34" s="26" t="s">
        <v>2</v>
      </c>
      <c r="B34" s="30">
        <v>1000</v>
      </c>
      <c r="C34" s="27" t="s">
        <v>9</v>
      </c>
      <c r="D34" s="28">
        <f>ACOS(D33)</f>
        <v>1.5707963267948966</v>
      </c>
      <c r="E34" s="29"/>
    </row>
    <row r="35" spans="1:5" ht="11.25">
      <c r="A35" s="26" t="s">
        <v>3</v>
      </c>
      <c r="B35" s="30">
        <f>Rtwomaj</f>
        <v>1000</v>
      </c>
      <c r="C35" s="27" t="s">
        <v>10</v>
      </c>
      <c r="D35" s="28">
        <f>1.939*2.71831^(-5.26*theta_1)+1.78*2.71831^(-1.09*theta_1)+0.723/theta_1+0.221</f>
        <v>1.0030145953604</v>
      </c>
      <c r="E35" s="29"/>
    </row>
    <row r="36" spans="1:5" ht="11.25">
      <c r="A36" s="26" t="s">
        <v>4</v>
      </c>
      <c r="B36" s="12">
        <v>0</v>
      </c>
      <c r="C36" s="27" t="s">
        <v>11</v>
      </c>
      <c r="D36" s="28">
        <f>35.228*2.71831^(-0.98*theta_1)-32.424*2.71831^(-1.0475*theta_1)+1.486*theta_1-2.634</f>
        <v>1.0014084128731353</v>
      </c>
      <c r="E36" s="29"/>
    </row>
    <row r="37" spans="1:5" ht="11.25">
      <c r="A37" s="26" t="s">
        <v>7</v>
      </c>
      <c r="B37" s="31">
        <f>1/(1/Ronemaj+1/Ronemin+1/Rtwomaj+1/Rtwomin)</f>
        <v>2.487562189054726</v>
      </c>
      <c r="C37" s="27" t="s">
        <v>12</v>
      </c>
      <c r="D37" s="28">
        <f>-0.214*2.71831^(-4.95*theta_1)-0.179*theta_1^2+0.555*theta_1+0.319</f>
        <v>0.7490373083770202</v>
      </c>
      <c r="E37" s="29"/>
    </row>
    <row r="38" spans="1:2" ht="11.25">
      <c r="A38" s="26" t="s">
        <v>13</v>
      </c>
      <c r="B38" s="10">
        <f>alpha*(1.5*F*re/Ee)^0.333333</f>
        <v>0.6559573659341087</v>
      </c>
    </row>
    <row r="39" spans="1:2" ht="11.25">
      <c r="A39" s="26" t="s">
        <v>14</v>
      </c>
      <c r="B39" s="10">
        <f>beta*(1.5*F*re/Ee)^0.333333</f>
        <v>0.654906945293742</v>
      </c>
    </row>
    <row r="40" spans="1:2" ht="11.25">
      <c r="A40" s="26" t="s">
        <v>21</v>
      </c>
      <c r="B40" s="10">
        <f>3*F/(2*PI()*cc*dd)</f>
        <v>9096.565276095806</v>
      </c>
    </row>
    <row r="41" spans="1:2" ht="11.25">
      <c r="A41" s="26" t="s">
        <v>15</v>
      </c>
      <c r="B41" s="32">
        <f>B40/B13</f>
        <v>6.064376850730537</v>
      </c>
    </row>
    <row r="42" spans="1:2" ht="11.25">
      <c r="A42" s="26" t="s">
        <v>16</v>
      </c>
      <c r="B42" s="10"/>
    </row>
    <row r="43" spans="1:4" ht="11.25">
      <c r="A43" s="26" t="s">
        <v>17</v>
      </c>
      <c r="B43" s="33">
        <f>1000000*lambda*(2*F^2/(3*re*Ee^2))^0.33333</f>
        <v>85858.63967086122</v>
      </c>
      <c r="D43" s="34"/>
    </row>
    <row r="44" spans="1:2" ht="11.25">
      <c r="A44" s="26" t="s">
        <v>18</v>
      </c>
      <c r="B44" s="33">
        <f>B8/B43</f>
        <v>0.09532509791504654</v>
      </c>
    </row>
    <row r="45" spans="1:3" ht="11.25">
      <c r="A45" s="24" t="s">
        <v>22</v>
      </c>
      <c r="B45" s="14">
        <f>cc</f>
        <v>0.6559573659341087</v>
      </c>
      <c r="C45" s="34"/>
    </row>
    <row r="46" spans="1:2" ht="11.25">
      <c r="A46" s="24" t="s">
        <v>23</v>
      </c>
      <c r="B46" s="35">
        <f>SQRT(2*(1+vone)/(7-2*vone))</f>
        <v>0.6339315096116493</v>
      </c>
    </row>
    <row r="47" spans="1:2" ht="11.25">
      <c r="A47" s="24" t="s">
        <v>24</v>
      </c>
      <c r="B47" s="35">
        <f>(q/2)*((1-2*vone)/2+2*(1+vone)*SQRT(2*(1+vone))/9)/sigult</f>
        <v>2.032945428584322</v>
      </c>
    </row>
    <row r="48" ht="11.25">
      <c r="A48" s="1"/>
    </row>
    <row r="49" ht="11.25">
      <c r="A49" s="1"/>
    </row>
    <row r="50" spans="1:3" ht="11.25">
      <c r="A50" s="1"/>
      <c r="C50" s="36"/>
    </row>
    <row r="52" spans="1:6" ht="11.25">
      <c r="A52" s="37" t="s">
        <v>40</v>
      </c>
      <c r="F52" s="38">
        <f>MAX(ABS(MIN(F55:H105)),MAX(F55:H105))*sigult/qcyl</f>
        <v>0.30015935595903875</v>
      </c>
    </row>
    <row r="53" spans="1:2" ht="11.25">
      <c r="A53" s="37" t="s">
        <v>19</v>
      </c>
      <c r="B53" s="1">
        <f>0.1*B</f>
        <v>0.04165751657155968</v>
      </c>
    </row>
    <row r="54" spans="1:8" ht="12.75">
      <c r="A54" s="39" t="s">
        <v>20</v>
      </c>
      <c r="B54" s="40" t="s">
        <v>41</v>
      </c>
      <c r="C54" s="41" t="s">
        <v>56</v>
      </c>
      <c r="D54" s="41" t="s">
        <v>57</v>
      </c>
      <c r="E54" s="41" t="s">
        <v>58</v>
      </c>
      <c r="F54" s="41" t="s">
        <v>59</v>
      </c>
      <c r="G54" s="41" t="s">
        <v>60</v>
      </c>
      <c r="H54" s="41" t="s">
        <v>61</v>
      </c>
    </row>
    <row r="55" spans="1:8" ht="11.25">
      <c r="A55" s="1">
        <v>0</v>
      </c>
      <c r="B55" s="38">
        <f aca="true" t="shared" si="0" ref="B55:B86">A55/a</f>
        <v>0</v>
      </c>
      <c r="C55" s="38">
        <f aca="true" t="shared" si="1" ref="C55:C86">-2*qcyl*vone*(SQRT(1+B55^2)-B55)/sigult</f>
        <v>-0.9672633683682743</v>
      </c>
      <c r="D55" s="38">
        <f aca="true" t="shared" si="2" ref="D55:D86">-qcyl*((2-1/(1+B55^2))*SQRT(1+B55^2)-2*B55)/sigult</f>
        <v>-1.6676954627039213</v>
      </c>
      <c r="E55" s="38">
        <f aca="true" t="shared" si="3" ref="E55:E86">-qcyl*SQRT(1/(1+B55^2))/sigult</f>
        <v>-1.6676954627039213</v>
      </c>
      <c r="F55" s="38">
        <f>(D55-C55)/2</f>
        <v>-0.3502160471678235</v>
      </c>
      <c r="G55" s="38">
        <f>(E55-C55)/2</f>
        <v>-0.3502160471678235</v>
      </c>
      <c r="H55" s="38">
        <f>(E55-D55)/2</f>
        <v>0</v>
      </c>
    </row>
    <row r="56" spans="1:8" ht="11.25">
      <c r="A56" s="1">
        <f aca="true" t="shared" si="4" ref="A56:A87">A55+zinc</f>
        <v>0.04165751657155968</v>
      </c>
      <c r="B56" s="38">
        <f t="shared" si="0"/>
        <v>0.06350643919096444</v>
      </c>
      <c r="C56" s="38">
        <f t="shared" si="1"/>
        <v>-0.9077844727765408</v>
      </c>
      <c r="D56" s="38">
        <f t="shared" si="2"/>
        <v>-1.465948648953436</v>
      </c>
      <c r="E56" s="38">
        <f t="shared" si="3"/>
        <v>-1.6643426364829124</v>
      </c>
      <c r="F56" s="38">
        <f aca="true" t="shared" si="5" ref="F56:F99">(D56-C56)/2</f>
        <v>-0.27908208808844753</v>
      </c>
      <c r="G56" s="38">
        <f aca="true" t="shared" si="6" ref="G56:G105">(E56-C56)/2</f>
        <v>-0.37827908185318576</v>
      </c>
      <c r="H56" s="38">
        <f aca="true" t="shared" si="7" ref="H56:H105">(E56-D56)/2</f>
        <v>-0.09919699376473823</v>
      </c>
    </row>
    <row r="57" spans="1:8" ht="11.25">
      <c r="A57" s="1">
        <f t="shared" si="4"/>
        <v>0.08331503314311936</v>
      </c>
      <c r="B57" s="38">
        <f t="shared" si="0"/>
        <v>0.12701287838192887</v>
      </c>
      <c r="C57" s="38">
        <f t="shared" si="1"/>
        <v>-0.8521793262979688</v>
      </c>
      <c r="D57" s="38">
        <f t="shared" si="2"/>
        <v>-1.2841451969496875</v>
      </c>
      <c r="E57" s="38">
        <f t="shared" si="3"/>
        <v>-1.6544042040777913</v>
      </c>
      <c r="F57" s="38">
        <f t="shared" si="5"/>
        <v>-0.21598293532585938</v>
      </c>
      <c r="G57" s="38">
        <f t="shared" si="6"/>
        <v>-0.40111243888991127</v>
      </c>
      <c r="H57" s="38">
        <f t="shared" si="7"/>
        <v>-0.1851295035640519</v>
      </c>
    </row>
    <row r="58" spans="1:8" ht="11.25">
      <c r="A58" s="1">
        <f t="shared" si="4"/>
        <v>0.12497254971467904</v>
      </c>
      <c r="B58" s="38">
        <f t="shared" si="0"/>
        <v>0.1905193175728933</v>
      </c>
      <c r="C58" s="38">
        <f t="shared" si="1"/>
        <v>-0.8003792148718156</v>
      </c>
      <c r="D58" s="38">
        <f t="shared" si="2"/>
        <v>-1.1216997448720902</v>
      </c>
      <c r="E58" s="38">
        <f t="shared" si="3"/>
        <v>-1.6382285822721014</v>
      </c>
      <c r="F58" s="38">
        <f t="shared" si="5"/>
        <v>-0.1606602650001373</v>
      </c>
      <c r="G58" s="38">
        <f t="shared" si="6"/>
        <v>-0.4189246837001429</v>
      </c>
      <c r="H58" s="38">
        <f t="shared" si="7"/>
        <v>-0.2582644187000056</v>
      </c>
    </row>
    <row r="59" spans="1:8" ht="11.25">
      <c r="A59" s="1">
        <f t="shared" si="4"/>
        <v>0.16663006628623872</v>
      </c>
      <c r="B59" s="38">
        <f t="shared" si="0"/>
        <v>0.25402575676385775</v>
      </c>
      <c r="C59" s="38">
        <f t="shared" si="1"/>
        <v>-0.7522740254461086</v>
      </c>
      <c r="D59" s="38">
        <f t="shared" si="2"/>
        <v>-0.9776887846598316</v>
      </c>
      <c r="E59" s="38">
        <f t="shared" si="3"/>
        <v>-1.6163595789474394</v>
      </c>
      <c r="F59" s="38">
        <f t="shared" si="5"/>
        <v>-0.1127073796068615</v>
      </c>
      <c r="G59" s="38">
        <f t="shared" si="6"/>
        <v>-0.43204277675066544</v>
      </c>
      <c r="H59" s="38">
        <f t="shared" si="7"/>
        <v>-0.31933539714380393</v>
      </c>
    </row>
    <row r="60" spans="1:8" ht="11.25">
      <c r="A60" s="1">
        <f t="shared" si="4"/>
        <v>0.20828758285779841</v>
      </c>
      <c r="B60" s="38">
        <f t="shared" si="0"/>
        <v>0.3175321959548222</v>
      </c>
      <c r="C60" s="38">
        <f t="shared" si="1"/>
        <v>-0.7077182559484355</v>
      </c>
      <c r="D60" s="38">
        <f t="shared" si="2"/>
        <v>-0.8509197160011914</v>
      </c>
      <c r="E60" s="38">
        <f t="shared" si="3"/>
        <v>-1.5894880631313448</v>
      </c>
      <c r="F60" s="38">
        <f t="shared" si="5"/>
        <v>-0.07160073002637796</v>
      </c>
      <c r="G60" s="38">
        <f t="shared" si="6"/>
        <v>-0.44088490359145466</v>
      </c>
      <c r="H60" s="38">
        <f t="shared" si="7"/>
        <v>-0.3692841735650767</v>
      </c>
    </row>
    <row r="61" spans="1:8" ht="11.25">
      <c r="A61" s="1">
        <f t="shared" si="4"/>
        <v>0.2499450994293581</v>
      </c>
      <c r="B61" s="38">
        <f t="shared" si="0"/>
        <v>0.3810386351457867</v>
      </c>
      <c r="C61" s="38">
        <f t="shared" si="1"/>
        <v>-0.6665383594087384</v>
      </c>
      <c r="D61" s="38">
        <f t="shared" si="2"/>
        <v>-0.7400119021645463</v>
      </c>
      <c r="E61" s="38">
        <f t="shared" si="3"/>
        <v>-1.5583962337276547</v>
      </c>
      <c r="F61" s="38">
        <f t="shared" si="5"/>
        <v>-0.03673677137790393</v>
      </c>
      <c r="G61" s="38">
        <f t="shared" si="6"/>
        <v>-0.44592893715945814</v>
      </c>
      <c r="H61" s="38">
        <f t="shared" si="7"/>
        <v>-0.4091921657815542</v>
      </c>
    </row>
    <row r="62" spans="1:8" ht="11.25">
      <c r="A62" s="1">
        <f t="shared" si="4"/>
        <v>0.2916026160009178</v>
      </c>
      <c r="B62" s="38">
        <f t="shared" si="0"/>
        <v>0.4445450743367511</v>
      </c>
      <c r="C62" s="38">
        <f t="shared" si="1"/>
        <v>-0.6285406330267646</v>
      </c>
      <c r="D62" s="38">
        <f t="shared" si="2"/>
        <v>-0.6434790386293879</v>
      </c>
      <c r="E62" s="38">
        <f t="shared" si="3"/>
        <v>-1.5239024545663524</v>
      </c>
      <c r="F62" s="38">
        <f t="shared" si="5"/>
        <v>-0.007469202801311692</v>
      </c>
      <c r="G62" s="38">
        <f t="shared" si="6"/>
        <v>-0.44768091076979394</v>
      </c>
      <c r="H62" s="38">
        <f t="shared" si="7"/>
        <v>-0.44021170796848225</v>
      </c>
    </row>
    <row r="63" spans="1:8" ht="11.25">
      <c r="A63" s="1">
        <f t="shared" si="4"/>
        <v>0.3332601325724775</v>
      </c>
      <c r="B63" s="38">
        <f t="shared" si="0"/>
        <v>0.5080515135277156</v>
      </c>
      <c r="C63" s="38">
        <f t="shared" si="1"/>
        <v>-0.5935189352880312</v>
      </c>
      <c r="D63" s="38">
        <f t="shared" si="2"/>
        <v>-0.5598040320397936</v>
      </c>
      <c r="E63" s="38">
        <f t="shared" si="3"/>
        <v>-1.4868129861947967</v>
      </c>
      <c r="F63" s="38">
        <f t="shared" si="5"/>
        <v>0.016857451624118835</v>
      </c>
      <c r="G63" s="38">
        <f t="shared" si="6"/>
        <v>-0.44664702545338275</v>
      </c>
      <c r="H63" s="38">
        <f t="shared" si="7"/>
        <v>-0.4635044770775016</v>
      </c>
    </row>
    <row r="64" spans="1:8" ht="11.25">
      <c r="A64" s="1">
        <f t="shared" si="4"/>
        <v>0.3749176491440372</v>
      </c>
      <c r="B64" s="38">
        <f t="shared" si="0"/>
        <v>0.57155795271868</v>
      </c>
      <c r="C64" s="38">
        <f t="shared" si="1"/>
        <v>-0.5612616796116497</v>
      </c>
      <c r="D64" s="38">
        <f t="shared" si="2"/>
        <v>-0.4875006559878207</v>
      </c>
      <c r="E64" s="38">
        <f t="shared" si="3"/>
        <v>-1.4478844461213163</v>
      </c>
      <c r="F64" s="38">
        <f t="shared" si="5"/>
        <v>0.03688051181191451</v>
      </c>
      <c r="G64" s="38">
        <f t="shared" si="6"/>
        <v>-0.44331138325483327</v>
      </c>
      <c r="H64" s="38">
        <f t="shared" si="7"/>
        <v>-0.48019189506674775</v>
      </c>
    </row>
    <row r="65" spans="1:8" ht="11.25">
      <c r="A65" s="1">
        <f t="shared" si="4"/>
        <v>0.4165751657155969</v>
      </c>
      <c r="B65" s="38">
        <f t="shared" si="0"/>
        <v>0.6350643919096445</v>
      </c>
      <c r="C65" s="38">
        <f t="shared" si="1"/>
        <v>-0.531557756853495</v>
      </c>
      <c r="D65" s="38">
        <f t="shared" si="2"/>
        <v>-0.42515948642786255</v>
      </c>
      <c r="E65" s="38">
        <f t="shared" si="3"/>
        <v>-1.4077982958255688</v>
      </c>
      <c r="F65" s="38">
        <f t="shared" si="5"/>
        <v>0.053199135212816245</v>
      </c>
      <c r="G65" s="38">
        <f t="shared" si="6"/>
        <v>-0.4381202694860369</v>
      </c>
      <c r="H65" s="38">
        <f t="shared" si="7"/>
        <v>-0.49131940469885316</v>
      </c>
    </row>
    <row r="66" spans="1:8" ht="11.25">
      <c r="A66" s="1">
        <f t="shared" si="4"/>
        <v>0.4582326822871566</v>
      </c>
      <c r="B66" s="38">
        <f t="shared" si="0"/>
        <v>0.6985708311006089</v>
      </c>
      <c r="C66" s="38">
        <f t="shared" si="1"/>
        <v>-0.5042012340263647</v>
      </c>
      <c r="D66" s="38">
        <f t="shared" si="2"/>
        <v>-0.37147828564708796</v>
      </c>
      <c r="E66" s="38">
        <f t="shared" si="3"/>
        <v>-1.3671466592714112</v>
      </c>
      <c r="F66" s="38">
        <f t="shared" si="5"/>
        <v>0.06636147418963839</v>
      </c>
      <c r="G66" s="38">
        <f t="shared" si="6"/>
        <v>-0.43147271262252324</v>
      </c>
      <c r="H66" s="38">
        <f t="shared" si="7"/>
        <v>-0.4978341868121616</v>
      </c>
    </row>
    <row r="67" spans="1:8" ht="11.25">
      <c r="A67" s="1">
        <f t="shared" si="4"/>
        <v>0.4998901988587163</v>
      </c>
      <c r="B67" s="38">
        <f t="shared" si="0"/>
        <v>0.7620772702915733</v>
      </c>
      <c r="C67" s="38">
        <f t="shared" si="1"/>
        <v>-0.4789948329072551</v>
      </c>
      <c r="D67" s="38">
        <f t="shared" si="2"/>
        <v>-0.3252787641639023</v>
      </c>
      <c r="E67" s="38">
        <f t="shared" si="3"/>
        <v>-1.3264275562059427</v>
      </c>
      <c r="F67" s="38">
        <f t="shared" si="5"/>
        <v>0.0768580343716764</v>
      </c>
      <c r="G67" s="38">
        <f t="shared" si="6"/>
        <v>-0.4237163616493438</v>
      </c>
      <c r="H67" s="38">
        <f t="shared" si="7"/>
        <v>-0.5005743960210202</v>
      </c>
    </row>
    <row r="68" spans="1:8" ht="11.25">
      <c r="A68" s="1">
        <f t="shared" si="4"/>
        <v>0.5415477154302759</v>
      </c>
      <c r="B68" s="38">
        <f t="shared" si="0"/>
        <v>0.8255837094825378</v>
      </c>
      <c r="C68" s="38">
        <f t="shared" si="1"/>
        <v>-0.4557522982540022</v>
      </c>
      <c r="D68" s="38">
        <f t="shared" si="2"/>
        <v>-0.28551250940783035</v>
      </c>
      <c r="E68" s="38">
        <f t="shared" si="3"/>
        <v>-1.2860471397439013</v>
      </c>
      <c r="F68" s="38">
        <f t="shared" si="5"/>
        <v>0.08511989442308593</v>
      </c>
      <c r="G68" s="38">
        <f t="shared" si="6"/>
        <v>-0.41514742074494954</v>
      </c>
      <c r="H68" s="38">
        <f t="shared" si="7"/>
        <v>-0.5002673151680355</v>
      </c>
    </row>
    <row r="69" spans="1:8" ht="11.25">
      <c r="A69" s="1">
        <f t="shared" si="4"/>
        <v>0.5832052320018356</v>
      </c>
      <c r="B69" s="38">
        <f t="shared" si="0"/>
        <v>0.8890901486735022</v>
      </c>
      <c r="C69" s="38">
        <f t="shared" si="1"/>
        <v>-0.43429982346285534</v>
      </c>
      <c r="D69" s="38">
        <f t="shared" si="2"/>
        <v>-0.251259029231119</v>
      </c>
      <c r="E69" s="38">
        <f t="shared" si="3"/>
        <v>-1.2463265689166583</v>
      </c>
      <c r="F69" s="38">
        <f t="shared" si="5"/>
        <v>0.09152039711586818</v>
      </c>
      <c r="G69" s="38">
        <f t="shared" si="6"/>
        <v>-0.40601337272690147</v>
      </c>
      <c r="H69" s="38">
        <f t="shared" si="7"/>
        <v>-0.49753376984276965</v>
      </c>
    </row>
    <row r="70" spans="1:8" ht="11.25">
      <c r="A70" s="1">
        <f t="shared" si="4"/>
        <v>0.6248627485733953</v>
      </c>
      <c r="B70" s="38">
        <f t="shared" si="0"/>
        <v>0.9525965878644667</v>
      </c>
      <c r="C70" s="38">
        <f t="shared" si="1"/>
        <v>-0.41447672154757925</v>
      </c>
      <c r="D70" s="38">
        <f t="shared" si="2"/>
        <v>-0.2217185764202737</v>
      </c>
      <c r="E70" s="38">
        <f t="shared" si="3"/>
        <v>-1.2075114978817236</v>
      </c>
      <c r="F70" s="38">
        <f t="shared" si="5"/>
        <v>0.09637907256365277</v>
      </c>
      <c r="G70" s="38">
        <f t="shared" si="6"/>
        <v>-0.39651738816707216</v>
      </c>
      <c r="H70" s="38">
        <f t="shared" si="7"/>
        <v>-0.49289646073072496</v>
      </c>
    </row>
    <row r="71" spans="1:8" ht="11.25">
      <c r="A71" s="1">
        <f t="shared" si="4"/>
        <v>0.666520265144955</v>
      </c>
      <c r="B71" s="38">
        <f t="shared" si="0"/>
        <v>1.0161030270554312</v>
      </c>
      <c r="C71" s="38">
        <f t="shared" si="1"/>
        <v>-0.3961355234374068</v>
      </c>
      <c r="D71" s="38">
        <f t="shared" si="2"/>
        <v>-0.1962019268944311</v>
      </c>
      <c r="E71" s="38">
        <f t="shared" si="3"/>
        <v>-1.1697826366828334</v>
      </c>
      <c r="F71" s="38">
        <f t="shared" si="5"/>
        <v>0.09996679827148786</v>
      </c>
      <c r="G71" s="38">
        <f t="shared" si="6"/>
        <v>-0.3868235566227133</v>
      </c>
      <c r="H71" s="38">
        <f t="shared" si="7"/>
        <v>-0.4867903548942012</v>
      </c>
    </row>
    <row r="72" spans="1:8" ht="11.25">
      <c r="A72" s="1">
        <f t="shared" si="4"/>
        <v>0.7081777817165147</v>
      </c>
      <c r="B72" s="38">
        <f t="shared" si="0"/>
        <v>1.0796094662463955</v>
      </c>
      <c r="C72" s="38">
        <f t="shared" si="1"/>
        <v>-0.3791416647975441</v>
      </c>
      <c r="D72" s="38">
        <f t="shared" si="2"/>
        <v>-0.17411874235154884</v>
      </c>
      <c r="E72" s="38">
        <f t="shared" si="3"/>
        <v>-1.1332663086744656</v>
      </c>
      <c r="F72" s="38">
        <f t="shared" si="5"/>
        <v>0.10251146122299762</v>
      </c>
      <c r="G72" s="38">
        <f t="shared" si="6"/>
        <v>-0.3770623219384608</v>
      </c>
      <c r="H72" s="38">
        <f t="shared" si="7"/>
        <v>-0.4795737831614584</v>
      </c>
    </row>
    <row r="73" spans="1:8" ht="11.25">
      <c r="A73" s="1">
        <f t="shared" si="4"/>
        <v>0.7498352982880744</v>
      </c>
      <c r="B73" s="38">
        <f t="shared" si="0"/>
        <v>1.14311590543736</v>
      </c>
      <c r="C73" s="38">
        <f t="shared" si="1"/>
        <v>-0.3633728952973033</v>
      </c>
      <c r="D73" s="38">
        <f t="shared" si="2"/>
        <v>-0.15496565315073801</v>
      </c>
      <c r="E73" s="38">
        <f t="shared" si="3"/>
        <v>-1.098044330633066</v>
      </c>
      <c r="F73" s="38">
        <f t="shared" si="5"/>
        <v>0.10420362107328265</v>
      </c>
      <c r="G73" s="38">
        <f t="shared" si="6"/>
        <v>-0.36733571766788137</v>
      </c>
      <c r="H73" s="38">
        <f t="shared" si="7"/>
        <v>-0.47153933874116405</v>
      </c>
    </row>
    <row r="74" spans="1:8" ht="11.25">
      <c r="A74" s="1">
        <f t="shared" si="4"/>
        <v>0.7914928148596341</v>
      </c>
      <c r="B74" s="38">
        <f t="shared" si="0"/>
        <v>1.2066223446283244</v>
      </c>
      <c r="C74" s="38">
        <f t="shared" si="1"/>
        <v>-0.3487185160964459</v>
      </c>
      <c r="D74" s="38">
        <f t="shared" si="2"/>
        <v>-0.13831479198437768</v>
      </c>
      <c r="E74" s="38">
        <f t="shared" si="3"/>
        <v>-1.0641628497275049</v>
      </c>
      <c r="F74" s="38">
        <f t="shared" si="5"/>
        <v>0.1052018620560341</v>
      </c>
      <c r="G74" s="38">
        <f t="shared" si="6"/>
        <v>-0.3577221668155295</v>
      </c>
      <c r="H74" s="38">
        <f t="shared" si="7"/>
        <v>-0.4629240288715636</v>
      </c>
    </row>
    <row r="75" spans="1:8" ht="11.25">
      <c r="A75" s="1">
        <f t="shared" si="4"/>
        <v>0.8331503314311938</v>
      </c>
      <c r="B75" s="38">
        <f t="shared" si="0"/>
        <v>1.270128783819289</v>
      </c>
      <c r="C75" s="38">
        <f t="shared" si="1"/>
        <v>-0.33507852551972495</v>
      </c>
      <c r="D75" s="38">
        <f t="shared" si="2"/>
        <v>-0.12380320225817103</v>
      </c>
      <c r="E75" s="38">
        <f t="shared" si="3"/>
        <v>-1.0316399891891561</v>
      </c>
      <c r="F75" s="38">
        <f t="shared" si="5"/>
        <v>0.10563766163077695</v>
      </c>
      <c r="G75" s="38">
        <f t="shared" si="6"/>
        <v>-0.3482807318347156</v>
      </c>
      <c r="H75" s="38">
        <f t="shared" si="7"/>
        <v>-0.45391839346549256</v>
      </c>
    </row>
    <row r="76" spans="1:8" ht="11.25">
      <c r="A76" s="1">
        <f t="shared" si="4"/>
        <v>0.8748078480027535</v>
      </c>
      <c r="B76" s="38">
        <f t="shared" si="0"/>
        <v>1.3336352230102535</v>
      </c>
      <c r="C76" s="38">
        <f t="shared" si="1"/>
        <v>-0.322362730943506</v>
      </c>
      <c r="D76" s="38">
        <f t="shared" si="2"/>
        <v>-0.11112332771237876</v>
      </c>
      <c r="E76" s="38">
        <f t="shared" si="3"/>
        <v>-1.0004722962307449</v>
      </c>
      <c r="F76" s="38">
        <f t="shared" si="5"/>
        <v>0.10561970161556361</v>
      </c>
      <c r="G76" s="38">
        <f t="shared" si="6"/>
        <v>-0.33905478264361943</v>
      </c>
      <c r="H76" s="38">
        <f t="shared" si="7"/>
        <v>-0.44467448425918304</v>
      </c>
    </row>
    <row r="77" spans="1:8" ht="11.25">
      <c r="A77" s="1">
        <f t="shared" si="4"/>
        <v>0.9164653645743132</v>
      </c>
      <c r="B77" s="38">
        <f t="shared" si="0"/>
        <v>1.3971416622012178</v>
      </c>
      <c r="C77" s="38">
        <f t="shared" si="1"/>
        <v>-0.31048986721458727</v>
      </c>
      <c r="D77" s="38">
        <f t="shared" si="2"/>
        <v>-0.1000146449342714</v>
      </c>
      <c r="E77" s="38">
        <f t="shared" si="3"/>
        <v>-0.9706400695987885</v>
      </c>
      <c r="F77" s="38">
        <f t="shared" si="5"/>
        <v>0.10523761114015794</v>
      </c>
      <c r="G77" s="38">
        <f t="shared" si="6"/>
        <v>-0.3300751011921006</v>
      </c>
      <c r="H77" s="38">
        <f t="shared" si="7"/>
        <v>-0.43531271233225854</v>
      </c>
    </row>
    <row r="78" spans="1:8" ht="11.25">
      <c r="A78" s="1">
        <f t="shared" si="4"/>
        <v>0.9581228811458729</v>
      </c>
      <c r="B78" s="38">
        <f t="shared" si="0"/>
        <v>1.4606481013921824</v>
      </c>
      <c r="C78" s="38">
        <f t="shared" si="1"/>
        <v>-0.29938674821717026</v>
      </c>
      <c r="D78" s="38">
        <f t="shared" si="2"/>
        <v>-0.09025641022286969</v>
      </c>
      <c r="E78" s="38">
        <f t="shared" si="3"/>
        <v>-0.9421116870777174</v>
      </c>
      <c r="F78" s="38">
        <f t="shared" si="5"/>
        <v>0.10456516899715029</v>
      </c>
      <c r="G78" s="38">
        <f t="shared" si="6"/>
        <v>-0.3213624694302736</v>
      </c>
      <c r="H78" s="38">
        <f t="shared" si="7"/>
        <v>-0.42592763842742387</v>
      </c>
    </row>
    <row r="79" spans="1:8" ht="11.25">
      <c r="A79" s="1">
        <f t="shared" si="4"/>
        <v>0.9997803977174325</v>
      </c>
      <c r="B79" s="38">
        <f t="shared" si="0"/>
        <v>1.5241545405831467</v>
      </c>
      <c r="C79" s="38">
        <f t="shared" si="1"/>
        <v>-0.2889874679584618</v>
      </c>
      <c r="D79" s="38">
        <f t="shared" si="2"/>
        <v>-0.08166144101337236</v>
      </c>
      <c r="E79" s="38">
        <f t="shared" si="3"/>
        <v>-0.9148470691882206</v>
      </c>
      <c r="F79" s="38">
        <f t="shared" si="5"/>
        <v>0.10366301347254472</v>
      </c>
      <c r="G79" s="38">
        <f t="shared" si="6"/>
        <v>-0.3129298006148794</v>
      </c>
      <c r="H79" s="38">
        <f t="shared" si="7"/>
        <v>-0.4165928140874241</v>
      </c>
    </row>
    <row r="80" spans="1:8" ht="11.25">
      <c r="A80" s="1">
        <f t="shared" si="4"/>
        <v>1.0414379142889922</v>
      </c>
      <c r="B80" s="38">
        <f t="shared" si="0"/>
        <v>1.5876609797741112</v>
      </c>
      <c r="C80" s="38">
        <f t="shared" si="1"/>
        <v>-0.27923266012377934</v>
      </c>
      <c r="D80" s="38">
        <f t="shared" si="2"/>
        <v>-0.07407082714388476</v>
      </c>
      <c r="E80" s="38">
        <f t="shared" si="3"/>
        <v>-0.8888004146622508</v>
      </c>
      <c r="F80" s="38">
        <f t="shared" si="5"/>
        <v>0.1025809164899473</v>
      </c>
      <c r="G80" s="38">
        <f t="shared" si="6"/>
        <v>-0.3047838772692357</v>
      </c>
      <c r="H80" s="38">
        <f t="shared" si="7"/>
        <v>-0.407364793759183</v>
      </c>
    </row>
    <row r="81" spans="1:8" ht="11.25">
      <c r="A81" s="1">
        <f t="shared" si="4"/>
        <v>1.0830954308605518</v>
      </c>
      <c r="B81" s="38">
        <f t="shared" si="0"/>
        <v>1.6511674189650756</v>
      </c>
      <c r="C81" s="38">
        <f t="shared" si="1"/>
        <v>-0.27006881984809317</v>
      </c>
      <c r="D81" s="38">
        <f t="shared" si="2"/>
        <v>-0.06734945922642115</v>
      </c>
      <c r="E81" s="38">
        <f t="shared" si="3"/>
        <v>-0.8639223333532101</v>
      </c>
      <c r="F81" s="38">
        <f t="shared" si="5"/>
        <v>0.101359680310836</v>
      </c>
      <c r="G81" s="38">
        <f t="shared" si="6"/>
        <v>-0.2969267567525585</v>
      </c>
      <c r="H81" s="38">
        <f t="shared" si="7"/>
        <v>-0.3982864370633945</v>
      </c>
    </row>
    <row r="82" spans="1:8" ht="11.25">
      <c r="A82" s="1">
        <f t="shared" si="4"/>
        <v>1.1247529474321114</v>
      </c>
      <c r="B82" s="38">
        <f t="shared" si="0"/>
        <v>1.71467385815604</v>
      </c>
      <c r="C82" s="38">
        <f t="shared" si="1"/>
        <v>-0.26144768792887163</v>
      </c>
      <c r="D82" s="38">
        <f t="shared" si="2"/>
        <v>-0.061382263573837616</v>
      </c>
      <c r="E82" s="38">
        <f t="shared" si="3"/>
        <v>-0.8401614879050299</v>
      </c>
      <c r="F82" s="38">
        <f t="shared" si="5"/>
        <v>0.10003271217751701</v>
      </c>
      <c r="G82" s="38">
        <f t="shared" si="6"/>
        <v>-0.2893568999880791</v>
      </c>
      <c r="H82" s="38">
        <f t="shared" si="7"/>
        <v>-0.38938961216559614</v>
      </c>
    </row>
    <row r="83" spans="1:8" ht="11.25">
      <c r="A83" s="1">
        <f t="shared" si="4"/>
        <v>1.166410464003671</v>
      </c>
      <c r="B83" s="38">
        <f t="shared" si="0"/>
        <v>1.7781802973470042</v>
      </c>
      <c r="C83" s="38">
        <f t="shared" si="1"/>
        <v>-0.25332569542543804</v>
      </c>
      <c r="D83" s="38">
        <f t="shared" si="2"/>
        <v>-0.05607104098488418</v>
      </c>
      <c r="E83" s="38">
        <f t="shared" si="3"/>
        <v>-0.8174658397924891</v>
      </c>
      <c r="F83" s="38">
        <f t="shared" si="5"/>
        <v>0.09862732722027692</v>
      </c>
      <c r="G83" s="38">
        <f t="shared" si="6"/>
        <v>-0.28207007218352553</v>
      </c>
      <c r="H83" s="38">
        <f t="shared" si="7"/>
        <v>-0.3806973994038025</v>
      </c>
    </row>
    <row r="84" spans="1:8" ht="11.25">
      <c r="A84" s="1">
        <f t="shared" si="4"/>
        <v>1.2080679805752306</v>
      </c>
      <c r="B84" s="38">
        <f t="shared" si="0"/>
        <v>1.8416867365379683</v>
      </c>
      <c r="C84" s="38">
        <f t="shared" si="1"/>
        <v>-0.24566346520570817</v>
      </c>
      <c r="D84" s="38">
        <f t="shared" si="2"/>
        <v>-0.05133181723486697</v>
      </c>
      <c r="E84" s="38">
        <f t="shared" si="3"/>
        <v>-0.7957835800261956</v>
      </c>
      <c r="F84" s="38">
        <f t="shared" si="5"/>
        <v>0.0971658239854206</v>
      </c>
      <c r="G84" s="38">
        <f t="shared" si="6"/>
        <v>-0.27506005741024375</v>
      </c>
      <c r="H84" s="38">
        <f t="shared" si="7"/>
        <v>-0.3722258813956643</v>
      </c>
    </row>
    <row r="85" spans="1:8" ht="11.25">
      <c r="A85" s="1">
        <f t="shared" si="4"/>
        <v>1.2497254971467902</v>
      </c>
      <c r="B85" s="38">
        <f t="shared" si="0"/>
        <v>1.9051931757289327</v>
      </c>
      <c r="C85" s="38">
        <f t="shared" si="1"/>
        <v>-0.23842536624649327</v>
      </c>
      <c r="D85" s="38">
        <f t="shared" si="2"/>
        <v>-0.04709262451238017</v>
      </c>
      <c r="E85" s="38">
        <f t="shared" si="3"/>
        <v>-0.775063810820355</v>
      </c>
      <c r="F85" s="38">
        <f t="shared" si="5"/>
        <v>0.09566637086705655</v>
      </c>
      <c r="G85" s="38">
        <f t="shared" si="6"/>
        <v>-0.2683192222869309</v>
      </c>
      <c r="H85" s="38">
        <f t="shared" si="7"/>
        <v>-0.36398559315398743</v>
      </c>
    </row>
    <row r="86" spans="1:8" ht="11.25">
      <c r="A86" s="1">
        <f t="shared" si="4"/>
        <v>1.2913830137183497</v>
      </c>
      <c r="B86" s="38">
        <f t="shared" si="0"/>
        <v>1.968699614919897</v>
      </c>
      <c r="C86" s="38">
        <f t="shared" si="1"/>
        <v>-0.23157911617012356</v>
      </c>
      <c r="D86" s="38">
        <f t="shared" si="2"/>
        <v>-0.043291644196554756</v>
      </c>
      <c r="E86" s="38">
        <f t="shared" si="3"/>
        <v>-0.7552570322521471</v>
      </c>
      <c r="F86" s="38">
        <f t="shared" si="5"/>
        <v>0.0941437359867844</v>
      </c>
      <c r="G86" s="38">
        <f t="shared" si="6"/>
        <v>-0.26183895804101176</v>
      </c>
      <c r="H86" s="38">
        <f t="shared" si="7"/>
        <v>-0.3559826940277962</v>
      </c>
    </row>
    <row r="87" spans="1:8" ht="11.25">
      <c r="A87" s="1">
        <f t="shared" si="4"/>
        <v>1.3330405302899093</v>
      </c>
      <c r="B87" s="38">
        <f aca="true" t="shared" si="8" ref="B87:B105">A87/a</f>
        <v>2.032206054110861</v>
      </c>
      <c r="C87" s="38">
        <f aca="true" t="shared" si="9" ref="C87:C105">-2*qcyl*vone*(SQRT(1+B87^2)-B87)/sigult</f>
        <v>-0.22509542746297947</v>
      </c>
      <c r="D87" s="38">
        <f aca="true" t="shared" si="10" ref="D87:D105">-qcyl*((2-1/(1+B87^2))*SQRT(1+B87^2)-2*B87)/sigult</f>
        <v>-0.0398756516977953</v>
      </c>
      <c r="E87" s="38">
        <f aca="true" t="shared" si="11" ref="E87:E105">-qcyl*SQRT(1/(1+B87^2))/sigult</f>
        <v>-0.7363154774848928</v>
      </c>
      <c r="F87" s="38">
        <f t="shared" si="5"/>
        <v>0.09260988788259208</v>
      </c>
      <c r="G87" s="38">
        <f t="shared" si="6"/>
        <v>-0.25561002501095664</v>
      </c>
      <c r="H87" s="38">
        <f t="shared" si="7"/>
        <v>-0.34821991289354876</v>
      </c>
    </row>
    <row r="88" spans="1:8" ht="11.25">
      <c r="A88" s="1">
        <f aca="true" t="shared" si="12" ref="A88:A105">A87+zinc</f>
        <v>1.374698046861469</v>
      </c>
      <c r="B88" s="38">
        <f t="shared" si="8"/>
        <v>2.0957124933018254</v>
      </c>
      <c r="C88" s="38">
        <f t="shared" si="9"/>
        <v>-0.2189476929666212</v>
      </c>
      <c r="D88" s="38">
        <f t="shared" si="10"/>
        <v>-0.03679871331788852</v>
      </c>
      <c r="E88" s="38">
        <f t="shared" si="11"/>
        <v>-0.718193331394599</v>
      </c>
      <c r="F88" s="38">
        <f t="shared" si="5"/>
        <v>0.09107448982436633</v>
      </c>
      <c r="G88" s="38">
        <f t="shared" si="6"/>
        <v>-0.24962281921398888</v>
      </c>
      <c r="H88" s="38">
        <f t="shared" si="7"/>
        <v>-0.3406973090383552</v>
      </c>
    </row>
    <row r="89" spans="1:8" ht="11.25">
      <c r="A89" s="1">
        <f t="shared" si="12"/>
        <v>1.4163555634330285</v>
      </c>
      <c r="B89" s="38">
        <f t="shared" si="8"/>
        <v>2.1592189324927897</v>
      </c>
      <c r="C89" s="38">
        <f t="shared" si="9"/>
        <v>-0.21311170648640135</v>
      </c>
      <c r="D89" s="38">
        <f t="shared" si="10"/>
        <v>-0.03402109314515391</v>
      </c>
      <c r="E89" s="38">
        <f t="shared" si="11"/>
        <v>-0.7008468602562299</v>
      </c>
      <c r="F89" s="38">
        <f t="shared" si="5"/>
        <v>0.08954530667062371</v>
      </c>
      <c r="G89" s="38">
        <f t="shared" si="6"/>
        <v>-0.24386757688491428</v>
      </c>
      <c r="H89" s="38">
        <f t="shared" si="7"/>
        <v>-0.333412883555538</v>
      </c>
    </row>
    <row r="90" spans="1:8" ht="11.25">
      <c r="A90" s="1">
        <f t="shared" si="12"/>
        <v>1.458013080004588</v>
      </c>
      <c r="B90" s="38">
        <f t="shared" si="8"/>
        <v>2.222725371683754</v>
      </c>
      <c r="C90" s="38">
        <f t="shared" si="9"/>
        <v>-0.20756541467530895</v>
      </c>
      <c r="D90" s="38">
        <f t="shared" si="10"/>
        <v>-0.03150833491991468</v>
      </c>
      <c r="E90" s="38">
        <f t="shared" si="11"/>
        <v>-0.6842344743052889</v>
      </c>
      <c r="F90" s="38">
        <f t="shared" si="5"/>
        <v>0.08802853987769714</v>
      </c>
      <c r="G90" s="38">
        <f t="shared" si="6"/>
        <v>-0.23833452981498998</v>
      </c>
      <c r="H90" s="38">
        <f t="shared" si="7"/>
        <v>-0.32636306969268714</v>
      </c>
    </row>
    <row r="91" spans="1:8" ht="11.25">
      <c r="A91" s="1">
        <f t="shared" si="12"/>
        <v>1.4996705965761477</v>
      </c>
      <c r="B91" s="38">
        <f t="shared" si="8"/>
        <v>2.2862318108747184</v>
      </c>
      <c r="C91" s="38">
        <f t="shared" si="9"/>
        <v>-0.20228869668830865</v>
      </c>
      <c r="D91" s="38">
        <f t="shared" si="10"/>
        <v>-0.029230489675698416</v>
      </c>
      <c r="E91" s="38">
        <f t="shared" si="11"/>
        <v>-0.6683167402839865</v>
      </c>
      <c r="F91" s="38">
        <f t="shared" si="5"/>
        <v>0.08652910350630512</v>
      </c>
      <c r="G91" s="38">
        <f t="shared" si="6"/>
        <v>-0.23301402179783892</v>
      </c>
      <c r="H91" s="38">
        <f t="shared" si="7"/>
        <v>-0.319543125304144</v>
      </c>
    </row>
    <row r="92" spans="1:8" ht="11.25">
      <c r="A92" s="1">
        <f t="shared" si="12"/>
        <v>1.5413281131477072</v>
      </c>
      <c r="B92" s="38">
        <f t="shared" si="8"/>
        <v>2.3497382500656827</v>
      </c>
      <c r="C92" s="38">
        <f t="shared" si="9"/>
        <v>-0.19726316844241876</v>
      </c>
      <c r="D92" s="38">
        <f t="shared" si="10"/>
        <v>-0.027161464898760448</v>
      </c>
      <c r="E92" s="38">
        <f t="shared" si="11"/>
        <v>-0.6530563573164763</v>
      </c>
      <c r="F92" s="38">
        <f t="shared" si="5"/>
        <v>0.08505085177182915</v>
      </c>
      <c r="G92" s="38">
        <f t="shared" si="6"/>
        <v>-0.22789659443702875</v>
      </c>
      <c r="H92" s="38">
        <f t="shared" si="7"/>
        <v>-0.3129474462088579</v>
      </c>
    </row>
    <row r="93" spans="1:8" ht="11.25">
      <c r="A93" s="1">
        <f t="shared" si="12"/>
        <v>1.5829856297192668</v>
      </c>
      <c r="B93" s="38">
        <f t="shared" si="8"/>
        <v>2.413244689256647</v>
      </c>
      <c r="C93" s="38">
        <f t="shared" si="9"/>
        <v>-0.19247200864622926</v>
      </c>
      <c r="D93" s="38">
        <f t="shared" si="10"/>
        <v>-0.025278475074920426</v>
      </c>
      <c r="E93" s="38">
        <f t="shared" si="11"/>
        <v>-0.6384181064638017</v>
      </c>
      <c r="F93" s="38">
        <f t="shared" si="5"/>
        <v>0.08359676678565442</v>
      </c>
      <c r="G93" s="38">
        <f t="shared" si="6"/>
        <v>-0.22297304890878622</v>
      </c>
      <c r="H93" s="38">
        <f t="shared" si="7"/>
        <v>-0.30656981569444064</v>
      </c>
    </row>
    <row r="94" spans="1:8" ht="11.25">
      <c r="A94" s="1">
        <f t="shared" si="12"/>
        <v>1.6246431462908264</v>
      </c>
      <c r="B94" s="38">
        <f t="shared" si="8"/>
        <v>2.4767511284476114</v>
      </c>
      <c r="C94" s="38">
        <f t="shared" si="9"/>
        <v>-0.18789980407130485</v>
      </c>
      <c r="D94" s="38">
        <f t="shared" si="10"/>
        <v>-0.023561576926244568</v>
      </c>
      <c r="E94" s="38">
        <f t="shared" si="11"/>
        <v>-0.6243687819403236</v>
      </c>
      <c r="F94" s="38">
        <f t="shared" si="5"/>
        <v>0.08216911357253015</v>
      </c>
      <c r="G94" s="38">
        <f t="shared" si="6"/>
        <v>-0.2182344889345094</v>
      </c>
      <c r="H94" s="38">
        <f t="shared" si="7"/>
        <v>-0.3004036025070395</v>
      </c>
    </row>
    <row r="95" spans="1:8" ht="11.25">
      <c r="A95" s="1">
        <f t="shared" si="12"/>
        <v>1.666300662862386</v>
      </c>
      <c r="B95" s="38">
        <f t="shared" si="8"/>
        <v>2.5402575676385757</v>
      </c>
      <c r="C95" s="38">
        <f t="shared" si="9"/>
        <v>-0.18353241182261698</v>
      </c>
      <c r="D95" s="38">
        <f t="shared" si="10"/>
        <v>-0.0219932754881427</v>
      </c>
      <c r="E95" s="38">
        <f t="shared" si="11"/>
        <v>-0.6108771101070893</v>
      </c>
      <c r="F95" s="38">
        <f t="shared" si="5"/>
        <v>0.08076956816723714</v>
      </c>
      <c r="G95" s="38">
        <f t="shared" si="6"/>
        <v>-0.21367234914223618</v>
      </c>
      <c r="H95" s="38">
        <f t="shared" si="7"/>
        <v>-0.29444191730947333</v>
      </c>
    </row>
    <row r="96" spans="1:8" ht="11.25">
      <c r="A96" s="1">
        <f t="shared" si="12"/>
        <v>1.7079581794339456</v>
      </c>
      <c r="B96" s="38">
        <f t="shared" si="8"/>
        <v>2.60376400682954</v>
      </c>
      <c r="C96" s="38">
        <f t="shared" si="9"/>
        <v>-0.17935683662405172</v>
      </c>
      <c r="D96" s="38">
        <f t="shared" si="10"/>
        <v>-0.020558189534779336</v>
      </c>
      <c r="E96" s="38">
        <f t="shared" si="11"/>
        <v>-0.5979136608929856</v>
      </c>
      <c r="F96" s="38">
        <f t="shared" si="5"/>
        <v>0.07939932354463619</v>
      </c>
      <c r="G96" s="38">
        <f t="shared" si="6"/>
        <v>-0.20927841213446693</v>
      </c>
      <c r="H96" s="38">
        <f t="shared" si="7"/>
        <v>-0.28867773567910315</v>
      </c>
    </row>
    <row r="97" spans="1:8" ht="11.25">
      <c r="A97" s="1">
        <f t="shared" si="12"/>
        <v>1.7496156960055051</v>
      </c>
      <c r="B97" s="38">
        <f t="shared" si="8"/>
        <v>2.6672704460205043</v>
      </c>
      <c r="C97" s="38">
        <f t="shared" si="9"/>
        <v>-0.17536112136812873</v>
      </c>
      <c r="D97" s="38">
        <f t="shared" si="10"/>
        <v>-0.01924276680971401</v>
      </c>
      <c r="E97" s="38">
        <f t="shared" si="11"/>
        <v>-0.5854507551493502</v>
      </c>
      <c r="F97" s="38">
        <f t="shared" si="5"/>
        <v>0.07805917727920736</v>
      </c>
      <c r="G97" s="38">
        <f t="shared" si="6"/>
        <v>-0.20504481689061071</v>
      </c>
      <c r="H97" s="38">
        <f t="shared" si="7"/>
        <v>-0.2831039941698181</v>
      </c>
    </row>
    <row r="98" spans="1:8" ht="11.25">
      <c r="A98" s="1">
        <f t="shared" si="12"/>
        <v>1.7912732125770647</v>
      </c>
      <c r="B98" s="38">
        <f t="shared" si="8"/>
        <v>2.730776885211468</v>
      </c>
      <c r="C98" s="38">
        <f t="shared" si="9"/>
        <v>-0.17153424938728706</v>
      </c>
      <c r="D98" s="38">
        <f t="shared" si="10"/>
        <v>-0.018035041128737238</v>
      </c>
      <c r="E98" s="38">
        <f t="shared" si="11"/>
        <v>-0.5734623705515627</v>
      </c>
      <c r="F98" s="38">
        <f t="shared" si="5"/>
        <v>0.07674960412927491</v>
      </c>
      <c r="G98" s="38">
        <f t="shared" si="6"/>
        <v>-0.2009640605821378</v>
      </c>
      <c r="H98" s="38">
        <f t="shared" si="7"/>
        <v>-0.27771366471141273</v>
      </c>
    </row>
    <row r="99" spans="1:8" ht="11.25">
      <c r="A99" s="1">
        <f t="shared" si="12"/>
        <v>1.8329307291486243</v>
      </c>
      <c r="B99" s="38">
        <f t="shared" si="8"/>
        <v>2.7942833244024325</v>
      </c>
      <c r="C99" s="38">
        <f t="shared" si="9"/>
        <v>-0.1678660570890544</v>
      </c>
      <c r="D99" s="38">
        <f t="shared" si="10"/>
        <v>-0.01692442475216523</v>
      </c>
      <c r="E99" s="38">
        <f t="shared" si="11"/>
        <v>-0.5619240479687126</v>
      </c>
      <c r="F99" s="38">
        <f t="shared" si="5"/>
        <v>0.07547081616844457</v>
      </c>
      <c r="G99" s="38">
        <f t="shared" si="6"/>
        <v>-0.19702899543982913</v>
      </c>
      <c r="H99" s="38">
        <f t="shared" si="7"/>
        <v>-0.2724998116082737</v>
      </c>
    </row>
    <row r="100" spans="1:8" ht="11.25">
      <c r="A100" s="1">
        <f t="shared" si="12"/>
        <v>1.874588245720184</v>
      </c>
      <c r="B100" s="38">
        <f t="shared" si="8"/>
        <v>2.857789763593397</v>
      </c>
      <c r="C100" s="38">
        <f t="shared" si="9"/>
        <v>-0.16434715576098297</v>
      </c>
      <c r="D100" s="38">
        <f t="shared" si="10"/>
        <v>-0.015901530523059988</v>
      </c>
      <c r="E100" s="38">
        <f t="shared" si="11"/>
        <v>-0.5508127996872269</v>
      </c>
      <c r="F100" s="38">
        <f aca="true" t="shared" si="13" ref="F100:F105">(D100-C100)/2</f>
        <v>0.07422281261896149</v>
      </c>
      <c r="G100" s="38">
        <f t="shared" si="6"/>
        <v>-0.19323282196312194</v>
      </c>
      <c r="H100" s="38">
        <f t="shared" si="7"/>
        <v>-0.26745563458208343</v>
      </c>
    </row>
    <row r="101" spans="1:8" ht="11.25">
      <c r="A101" s="1">
        <f t="shared" si="12"/>
        <v>1.9162457622917435</v>
      </c>
      <c r="B101" s="38">
        <f t="shared" si="8"/>
        <v>2.921296202784361</v>
      </c>
      <c r="C101" s="38">
        <f t="shared" si="9"/>
        <v>-0.1609688614954306</v>
      </c>
      <c r="D101" s="38">
        <f t="shared" si="10"/>
        <v>-0.014958019176889029</v>
      </c>
      <c r="E101" s="38">
        <f t="shared" si="11"/>
        <v>-0.5401070204625276</v>
      </c>
      <c r="F101" s="38">
        <f t="shared" si="13"/>
        <v>0.07300542115927079</v>
      </c>
      <c r="G101" s="38">
        <f t="shared" si="6"/>
        <v>-0.18956907948354848</v>
      </c>
      <c r="H101" s="38">
        <f t="shared" si="7"/>
        <v>-0.2625745006428193</v>
      </c>
    </row>
    <row r="102" spans="1:8" ht="11.25">
      <c r="A102" s="1">
        <f t="shared" si="12"/>
        <v>1.957903278863303</v>
      </c>
      <c r="B102" s="38">
        <f t="shared" si="8"/>
        <v>2.9848026419753255</v>
      </c>
      <c r="C102" s="38">
        <f t="shared" si="9"/>
        <v>-0.15772313231106652</v>
      </c>
      <c r="D102" s="38">
        <f t="shared" si="10"/>
        <v>-0.014086467980523059</v>
      </c>
      <c r="E102" s="38">
        <f t="shared" si="11"/>
        <v>-0.5297864020576374</v>
      </c>
      <c r="F102" s="38">
        <f t="shared" si="13"/>
        <v>0.07181833216527173</v>
      </c>
      <c r="G102" s="38">
        <f t="shared" si="6"/>
        <v>-0.18603163487328545</v>
      </c>
      <c r="H102" s="38">
        <f t="shared" si="7"/>
        <v>-0.25784996703855717</v>
      </c>
    </row>
    <row r="103" spans="1:8" ht="11.25">
      <c r="A103" s="1">
        <f t="shared" si="12"/>
        <v>1.9995607954348626</v>
      </c>
      <c r="B103" s="38">
        <f t="shared" si="8"/>
        <v>3.04830908116629</v>
      </c>
      <c r="C103" s="38">
        <f t="shared" si="9"/>
        <v>-0.15460251165929131</v>
      </c>
      <c r="D103" s="38">
        <f t="shared" si="10"/>
        <v>-0.013280257481963468</v>
      </c>
      <c r="E103" s="38">
        <f t="shared" si="11"/>
        <v>-0.5198318516880063</v>
      </c>
      <c r="F103" s="38">
        <f t="shared" si="13"/>
        <v>0.07066112708866393</v>
      </c>
      <c r="G103" s="38">
        <f t="shared" si="6"/>
        <v>-0.1826146700143575</v>
      </c>
      <c r="H103" s="38">
        <f t="shared" si="7"/>
        <v>-0.2532757971030214</v>
      </c>
    </row>
    <row r="104" spans="1:8" ht="11.25">
      <c r="A104" s="1">
        <f t="shared" si="12"/>
        <v>2.0412183120064222</v>
      </c>
      <c r="B104" s="38">
        <f t="shared" si="8"/>
        <v>3.111815520357254</v>
      </c>
      <c r="C104" s="38">
        <f t="shared" si="9"/>
        <v>-0.1516000776013628</v>
      </c>
      <c r="D104" s="38">
        <f t="shared" si="10"/>
        <v>-0.012533473669523893</v>
      </c>
      <c r="E104" s="38">
        <f t="shared" si="11"/>
        <v>-0.5102254146110388</v>
      </c>
      <c r="F104" s="38">
        <f t="shared" si="13"/>
        <v>0.06953330196591945</v>
      </c>
      <c r="G104" s="38">
        <f t="shared" si="6"/>
        <v>-0.17931266850483799</v>
      </c>
      <c r="H104" s="38">
        <f t="shared" si="7"/>
        <v>-0.24884597047075743</v>
      </c>
    </row>
    <row r="105" spans="1:8" ht="11.25">
      <c r="A105" s="1">
        <f t="shared" si="12"/>
        <v>2.082875828577982</v>
      </c>
      <c r="B105" s="38">
        <f t="shared" si="8"/>
        <v>3.1753219595482185</v>
      </c>
      <c r="C105" s="38">
        <f t="shared" si="9"/>
        <v>-0.14870939702752348</v>
      </c>
      <c r="D105" s="38">
        <f t="shared" si="10"/>
        <v>-0.011840823269067038</v>
      </c>
      <c r="E105" s="38">
        <f t="shared" si="11"/>
        <v>-0.5009502009637733</v>
      </c>
      <c r="F105" s="38">
        <f t="shared" si="13"/>
        <v>0.06843428687922821</v>
      </c>
      <c r="G105" s="38">
        <f t="shared" si="6"/>
        <v>-0.1761204019681249</v>
      </c>
      <c r="H105" s="38">
        <f t="shared" si="7"/>
        <v>-0.24455468884735312</v>
      </c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</sheetData>
  <sheetProtection password="E53C"/>
  <mergeCells count="5">
    <mergeCell ref="A22:B22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DSMT4" shapeId="13696881" r:id="rId1"/>
    <oleObject progId="Equation.DSMT4" shapeId="11010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cp:lastPrinted>2004-05-24T15:45:24Z</cp:lastPrinted>
  <dcterms:created xsi:type="dcterms:W3CDTF">2004-01-23T17:18:10Z</dcterms:created>
  <dcterms:modified xsi:type="dcterms:W3CDTF">2005-02-22T12:32:06Z</dcterms:modified>
  <cp:category/>
  <cp:version/>
  <cp:contentType/>
  <cp:contentStatus/>
</cp:coreProperties>
</file>