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4220" windowHeight="11640" activeTab="0"/>
  </bookViews>
  <sheets>
    <sheet name="Sheet1" sheetId="1" r:id="rId1"/>
    <sheet name="Sheet2" sheetId="2" r:id="rId2"/>
    <sheet name="Sheet3" sheetId="3" r:id="rId3"/>
  </sheets>
  <definedNames>
    <definedName name="a">'Sheet1'!$B$25</definedName>
    <definedName name="Ac">'Sheet1'!$B$31</definedName>
    <definedName name="b">'Sheet1'!$B$26</definedName>
    <definedName name="cc">'Sheet1'!#REF!</definedName>
    <definedName name="cl">'Sheet1'!$B$27</definedName>
    <definedName name="Ctol">'Sheet1'!$B$14</definedName>
    <definedName name="Dg">'Sheet1'!$B$22</definedName>
    <definedName name="Dp">'Sheet1'!$B$21</definedName>
    <definedName name="f">'Sheet1'!$C$9</definedName>
    <definedName name="Fg">'Sheet1'!#REF!</definedName>
    <definedName name="Fp">'Sheet1'!$B$28</definedName>
    <definedName name="I">'Sheet1'!$B$33</definedName>
    <definedName name="M">'Sheet1'!$B$10</definedName>
    <definedName name="Ng">'Sheet1'!$B$13</definedName>
    <definedName name="Np">'Sheet1'!$B$12</definedName>
    <definedName name="P">'Sheet1'!$B$11</definedName>
    <definedName name="Q">'Sheet1'!$B$32</definedName>
    <definedName name="scf">'Sheet1'!$B$18</definedName>
    <definedName name="sigg">'Sheet1'!$B$17</definedName>
    <definedName name="sigp">'Sheet1'!$B$16</definedName>
    <definedName name="T">'Sheet1'!$B$7</definedName>
    <definedName name="tt">'Sheet1'!$B$24</definedName>
    <definedName name="w">'Sheet1'!$B$15</definedName>
  </definedNames>
  <calcPr fullCalcOnLoad="1"/>
</workbook>
</file>

<file path=xl/sharedStrings.xml><?xml version="1.0" encoding="utf-8"?>
<sst xmlns="http://schemas.openxmlformats.org/spreadsheetml/2006/main" count="67" uniqueCount="58">
  <si>
    <t>Inputs</t>
  </si>
  <si>
    <t>Outputs</t>
  </si>
  <si>
    <t>Number of teeth on pinion, Np</t>
  </si>
  <si>
    <t>Pitch, P</t>
  </si>
  <si>
    <t>Number of teeth on gear, Ng</t>
  </si>
  <si>
    <t>Gear ratio, mg</t>
  </si>
  <si>
    <t>Pressure angle, f (deg, rad)</t>
  </si>
  <si>
    <t>Pinion tooth stresses (stress ratio must be less than 1)</t>
  </si>
  <si>
    <t>Tooth section parameters</t>
  </si>
  <si>
    <t>Stress concentration factor at tooth root, scf</t>
  </si>
  <si>
    <t>Plastic</t>
  </si>
  <si>
    <t>Glass-filled</t>
  </si>
  <si>
    <t>ABS</t>
  </si>
  <si>
    <t>Acetal</t>
  </si>
  <si>
    <t>Nylon</t>
  </si>
  <si>
    <t>Polycarbonate</t>
  </si>
  <si>
    <t>Polyester</t>
  </si>
  <si>
    <t>Polyurethane</t>
  </si>
  <si>
    <t>Production gears must be designed using the Lewis Form Factor or FEA</t>
  </si>
  <si>
    <t>Unfilled</t>
  </si>
  <si>
    <r>
      <t xml:space="preserve">Spreadsheet to </t>
    </r>
    <r>
      <rPr>
        <i/>
        <sz val="10"/>
        <rFont val="Times New Roman"/>
        <family val="1"/>
      </rPr>
      <t>estimate</t>
    </r>
    <r>
      <rPr>
        <sz val="10"/>
        <rFont val="Times New Roman"/>
        <family val="1"/>
      </rPr>
      <t xml:space="preserve"> gear tooth strength</t>
    </r>
  </si>
  <si>
    <r>
      <t xml:space="preserve">Enters numbers in </t>
    </r>
    <r>
      <rPr>
        <b/>
        <sz val="10"/>
        <rFont val="Times New Roman"/>
        <family val="1"/>
      </rPr>
      <t>BOLD,</t>
    </r>
    <r>
      <rPr>
        <sz val="10"/>
        <rFont val="Times New Roman"/>
        <family val="1"/>
      </rPr>
      <t xml:space="preserve"> Results in </t>
    </r>
    <r>
      <rPr>
        <b/>
        <sz val="10"/>
        <color indexed="10"/>
        <rFont val="Times New Roman"/>
        <family val="1"/>
      </rPr>
      <t>RED</t>
    </r>
  </si>
  <si>
    <t>Pinion pitch diameter, Dp (mm)</t>
  </si>
  <si>
    <t>Gear pich diameter, Dg (mm)</t>
  </si>
  <si>
    <t>Addendum, a (mm)</t>
  </si>
  <si>
    <t>Dedendum, b (mm)</t>
  </si>
  <si>
    <t>Clearance, cl (mm)</t>
  </si>
  <si>
    <t>Module, M</t>
  </si>
  <si>
    <t>Chordal area, Ac (mm^2)</t>
  </si>
  <si>
    <t>Face width, w (mm)</t>
  </si>
  <si>
    <t>Center distance tolerance, Ctol (mm)</t>
  </si>
  <si>
    <t>Center distance, C (mm)</t>
  </si>
  <si>
    <t>First Moment, Q (mm^3)</t>
  </si>
  <si>
    <t>2nd moment of area ("moment of inertia") I (mm^4)</t>
  </si>
  <si>
    <t>psi</t>
  </si>
  <si>
    <t>Gpa</t>
  </si>
  <si>
    <t>Pinion yeild stress, sigp (N/mm^2, psi)</t>
  </si>
  <si>
    <t>Gear yield stress, sigg (N/mm^2, psi)</t>
  </si>
  <si>
    <t>Safe Von Mises stress (psi)</t>
  </si>
  <si>
    <t>max stress from FEA (N/m^2, N/mm^2)</t>
  </si>
  <si>
    <t>Tooth thickness at base tt (mm)</t>
  </si>
  <si>
    <t>Desired torque transmission, T (N-mm, in-lb)</t>
  </si>
  <si>
    <t>maximum torque (N-mm)</t>
  </si>
  <si>
    <t>maximum tangential load (N)</t>
  </si>
  <si>
    <t>load normal to pitch radius (N)</t>
  </si>
  <si>
    <t>load normal to the tooth (N)</t>
  </si>
  <si>
    <t>Maximum conservative achievable torque transmission (C35 stress ratio = 1) (N-mm, in-lb)</t>
  </si>
  <si>
    <t>Spur_Gears_Metric.xls</t>
  </si>
  <si>
    <t>Transverse shear stress of the tooth (F/A) (N/mm^2)</t>
  </si>
  <si>
    <t>Bending induced shear stress (FQ/wI) (N/mm^2)</t>
  </si>
  <si>
    <t>Modulus of elasticity</t>
  </si>
  <si>
    <t>Maximum Von Mises stress (MPa)</t>
  </si>
  <si>
    <t>Bending stress (F*b*c/I) (psi)</t>
  </si>
  <si>
    <t>From FEA of one tooth from MOD 1 gear</t>
  </si>
  <si>
    <t>Pinion tooth force (normal to radius), Fp (N)</t>
  </si>
  <si>
    <t>Gear tooth separation force (parallel to radius) Fs (N)</t>
  </si>
  <si>
    <t>By Alex Slocum 1/18/01, last modified 9/28/2007 by Alex Slocum</t>
  </si>
  <si>
    <r>
      <t>s</t>
    </r>
    <r>
      <rPr>
        <b/>
        <sz val="10"/>
        <rFont val="Times New Roman"/>
        <family val="1"/>
      </rPr>
      <t xml:space="preserve"> ratio</t>
    </r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</si>
</sst>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0000000"/>
    <numFmt numFmtId="168" formatCode="0.0000000"/>
    <numFmt numFmtId="169" formatCode="0.000000"/>
    <numFmt numFmtId="170" formatCode="0.00000"/>
    <numFmt numFmtId="171" formatCode="0.0000E+00"/>
    <numFmt numFmtId="172" formatCode="0.000E+00"/>
  </numFmts>
  <fonts count="8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10"/>
      <name val="Times New Roman"/>
      <family val="1"/>
    </font>
    <font>
      <i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Symbol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164" fontId="3" fillId="0" borderId="1" xfId="0" applyNumberFormat="1" applyFont="1" applyBorder="1" applyAlignment="1">
      <alignment/>
    </xf>
    <xf numFmtId="0" fontId="3" fillId="0" borderId="1" xfId="0" applyFont="1" applyBorder="1" applyAlignment="1">
      <alignment/>
    </xf>
    <xf numFmtId="166" fontId="3" fillId="0" borderId="1" xfId="0" applyNumberFormat="1" applyFont="1" applyBorder="1" applyAlignment="1">
      <alignment/>
    </xf>
    <xf numFmtId="2" fontId="3" fillId="0" borderId="1" xfId="0" applyNumberFormat="1" applyFont="1" applyBorder="1" applyAlignment="1">
      <alignment/>
    </xf>
    <xf numFmtId="11" fontId="3" fillId="0" borderId="1" xfId="0" applyNumberFormat="1" applyFont="1" applyBorder="1" applyAlignment="1">
      <alignment/>
    </xf>
    <xf numFmtId="1" fontId="3" fillId="0" borderId="1" xfId="0" applyNumberFormat="1" applyFont="1" applyBorder="1" applyAlignment="1">
      <alignment/>
    </xf>
    <xf numFmtId="0" fontId="2" fillId="0" borderId="1" xfId="0" applyFont="1" applyBorder="1" applyAlignment="1">
      <alignment horizontal="left" indent="1"/>
    </xf>
    <xf numFmtId="170" fontId="3" fillId="0" borderId="1" xfId="0" applyNumberFormat="1" applyFont="1" applyBorder="1" applyAlignment="1">
      <alignment/>
    </xf>
    <xf numFmtId="164" fontId="2" fillId="0" borderId="0" xfId="0" applyNumberFormat="1" applyFont="1" applyAlignment="1">
      <alignment/>
    </xf>
    <xf numFmtId="1" fontId="2" fillId="0" borderId="0" xfId="0" applyNumberFormat="1" applyFont="1" applyAlignment="1">
      <alignment/>
    </xf>
    <xf numFmtId="11" fontId="2" fillId="0" borderId="0" xfId="0" applyNumberFormat="1" applyFont="1" applyAlignment="1">
      <alignment/>
    </xf>
    <xf numFmtId="1" fontId="1" fillId="0" borderId="1" xfId="0" applyNumberFormat="1" applyFont="1" applyBorder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11" fontId="2" fillId="0" borderId="0" xfId="0" applyNumberFormat="1" applyFont="1" applyFill="1" applyAlignment="1">
      <alignment/>
    </xf>
    <xf numFmtId="1" fontId="2" fillId="0" borderId="0" xfId="0" applyNumberFormat="1" applyFont="1" applyFill="1" applyAlignment="1">
      <alignment/>
    </xf>
    <xf numFmtId="2" fontId="3" fillId="0" borderId="1" xfId="0" applyNumberFormat="1" applyFont="1" applyFill="1" applyBorder="1" applyAlignment="1">
      <alignment/>
    </xf>
    <xf numFmtId="0" fontId="2" fillId="0" borderId="1" xfId="0" applyFont="1" applyBorder="1" applyAlignment="1">
      <alignment horizontal="left" wrapText="1" indent="1"/>
    </xf>
    <xf numFmtId="0" fontId="1" fillId="0" borderId="1" xfId="0" applyNumberFormat="1" applyFont="1" applyBorder="1" applyAlignment="1">
      <alignment/>
    </xf>
    <xf numFmtId="0" fontId="3" fillId="0" borderId="1" xfId="0" applyNumberFormat="1" applyFont="1" applyBorder="1" applyAlignment="1">
      <alignment/>
    </xf>
    <xf numFmtId="0" fontId="2" fillId="0" borderId="1" xfId="0" applyNumberFormat="1" applyFont="1" applyBorder="1" applyAlignment="1">
      <alignment/>
    </xf>
    <xf numFmtId="1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left" indent="1"/>
    </xf>
    <xf numFmtId="2" fontId="3" fillId="2" borderId="1" xfId="0" applyNumberFormat="1" applyFont="1" applyFill="1" applyBorder="1" applyAlignment="1">
      <alignment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7" fillId="0" borderId="1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171450</xdr:colOff>
      <xdr:row>33</xdr:row>
      <xdr:rowOff>0</xdr:rowOff>
    </xdr:from>
    <xdr:to>
      <xdr:col>9</xdr:col>
      <xdr:colOff>371475</xdr:colOff>
      <xdr:row>54</xdr:row>
      <xdr:rowOff>114300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rcRect l="34570" t="22656" r="10644" b="29296"/>
        <a:stretch>
          <a:fillRect/>
        </a:stretch>
      </xdr:blipFill>
      <xdr:spPr>
        <a:xfrm>
          <a:off x="4686300" y="5514975"/>
          <a:ext cx="5343525" cy="35147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</xdr:col>
      <xdr:colOff>381000</xdr:colOff>
      <xdr:row>11</xdr:row>
      <xdr:rowOff>57150</xdr:rowOff>
    </xdr:from>
    <xdr:to>
      <xdr:col>8</xdr:col>
      <xdr:colOff>457200</xdr:colOff>
      <xdr:row>32</xdr:row>
      <xdr:rowOff>0</xdr:rowOff>
    </xdr:to>
    <xdr:pic>
      <xdr:nvPicPr>
        <xdr:cNvPr id="2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95850" y="2009775"/>
          <a:ext cx="4400550" cy="3343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4"/>
  <sheetViews>
    <sheetView tabSelected="1" zoomScale="75" zoomScaleNormal="75" workbookViewId="0" topLeftCell="A1">
      <selection activeCell="C37" sqref="A1:C37"/>
    </sheetView>
  </sheetViews>
  <sheetFormatPr defaultColWidth="9.140625" defaultRowHeight="12.75"/>
  <cols>
    <col min="1" max="1" width="45.00390625" style="3" customWidth="1"/>
    <col min="2" max="2" width="13.28125" style="3" bestFit="1" customWidth="1"/>
    <col min="3" max="3" width="9.421875" style="3" customWidth="1"/>
    <col min="4" max="4" width="9.140625" style="3" customWidth="1"/>
    <col min="5" max="5" width="14.421875" style="3" customWidth="1"/>
    <col min="6" max="6" width="12.28125" style="3" customWidth="1"/>
    <col min="7" max="7" width="16.421875" style="3" customWidth="1"/>
    <col min="8" max="8" width="12.57421875" style="3" customWidth="1"/>
    <col min="9" max="9" width="12.28125" style="3" customWidth="1"/>
    <col min="10" max="10" width="17.00390625" style="3" customWidth="1"/>
    <col min="11" max="16384" width="9.140625" style="3" customWidth="1"/>
  </cols>
  <sheetData>
    <row r="1" spans="1:3" ht="12.75">
      <c r="A1" s="38" t="s">
        <v>47</v>
      </c>
      <c r="B1" s="39"/>
      <c r="C1" s="40"/>
    </row>
    <row r="2" spans="1:3" ht="12.75">
      <c r="A2" s="32" t="s">
        <v>20</v>
      </c>
      <c r="B2" s="33"/>
      <c r="C2" s="34"/>
    </row>
    <row r="3" spans="1:3" ht="12.75">
      <c r="A3" s="32" t="s">
        <v>18</v>
      </c>
      <c r="B3" s="33"/>
      <c r="C3" s="34"/>
    </row>
    <row r="4" spans="1:12" ht="12.75">
      <c r="A4" s="36" t="s">
        <v>56</v>
      </c>
      <c r="B4" s="36"/>
      <c r="C4" s="36"/>
      <c r="E4" s="1"/>
      <c r="F4" s="31" t="s">
        <v>38</v>
      </c>
      <c r="G4" s="31"/>
      <c r="H4" s="2"/>
      <c r="I4" s="31" t="s">
        <v>51</v>
      </c>
      <c r="J4" s="31"/>
      <c r="K4" s="37" t="s">
        <v>50</v>
      </c>
      <c r="L4" s="37"/>
    </row>
    <row r="5" spans="1:12" ht="13.5" thickBot="1">
      <c r="A5" s="35" t="s">
        <v>21</v>
      </c>
      <c r="B5" s="35"/>
      <c r="C5" s="35"/>
      <c r="E5" s="1" t="s">
        <v>10</v>
      </c>
      <c r="F5" s="4" t="s">
        <v>19</v>
      </c>
      <c r="G5" s="4" t="s">
        <v>11</v>
      </c>
      <c r="H5" s="1" t="s">
        <v>10</v>
      </c>
      <c r="I5" s="4" t="s">
        <v>19</v>
      </c>
      <c r="J5" s="4" t="s">
        <v>11</v>
      </c>
      <c r="K5" s="3" t="s">
        <v>34</v>
      </c>
      <c r="L5" s="3" t="s">
        <v>35</v>
      </c>
    </row>
    <row r="6" spans="1:12" ht="12.75">
      <c r="A6" s="1" t="s">
        <v>0</v>
      </c>
      <c r="B6" s="2"/>
      <c r="C6" s="2"/>
      <c r="E6" s="1" t="s">
        <v>12</v>
      </c>
      <c r="F6" s="6">
        <v>3000</v>
      </c>
      <c r="G6" s="6">
        <v>6000</v>
      </c>
      <c r="H6" s="1" t="s">
        <v>12</v>
      </c>
      <c r="I6" s="26">
        <f aca="true" t="shared" si="0" ref="I6:J10">F6*6900/1000000</f>
        <v>20.7</v>
      </c>
      <c r="J6" s="26">
        <f t="shared" si="0"/>
        <v>41.4</v>
      </c>
      <c r="K6" s="15">
        <v>29600000</v>
      </c>
      <c r="L6" s="14">
        <f aca="true" t="shared" si="1" ref="L6:L11">K6/1000000000*(4.45*39.37^2)</f>
        <v>204.165591668</v>
      </c>
    </row>
    <row r="7" spans="1:12" ht="12.75">
      <c r="A7" s="11" t="s">
        <v>41</v>
      </c>
      <c r="B7" s="16">
        <v>12</v>
      </c>
      <c r="C7" s="5">
        <f>B7/(25.4*4.45)</f>
        <v>0.1061665044678404</v>
      </c>
      <c r="E7" s="1" t="s">
        <v>13</v>
      </c>
      <c r="F7" s="6">
        <v>5000</v>
      </c>
      <c r="G7" s="6">
        <v>7000</v>
      </c>
      <c r="H7" s="1" t="s">
        <v>13</v>
      </c>
      <c r="I7" s="26">
        <f t="shared" si="0"/>
        <v>34.5</v>
      </c>
      <c r="J7" s="26">
        <f t="shared" si="0"/>
        <v>48.3</v>
      </c>
      <c r="K7" s="19">
        <v>10000000</v>
      </c>
      <c r="L7" s="20">
        <f t="shared" si="1"/>
        <v>68.97486205</v>
      </c>
    </row>
    <row r="8" spans="1:12" ht="25.5">
      <c r="A8" s="22" t="s">
        <v>46</v>
      </c>
      <c r="B8" s="10">
        <f>T/C36</f>
        <v>654.4188106157059</v>
      </c>
      <c r="C8" s="5">
        <f>B8/(25.4*4.45)</f>
        <v>5.789779798422595</v>
      </c>
      <c r="E8" s="1" t="s">
        <v>14</v>
      </c>
      <c r="F8" s="6">
        <v>6000</v>
      </c>
      <c r="G8" s="6">
        <v>12000</v>
      </c>
      <c r="H8" s="1" t="s">
        <v>14</v>
      </c>
      <c r="I8" s="26">
        <f t="shared" si="0"/>
        <v>41.4</v>
      </c>
      <c r="J8" s="26">
        <f t="shared" si="0"/>
        <v>82.8</v>
      </c>
      <c r="K8" s="15">
        <v>1500000</v>
      </c>
      <c r="L8" s="14">
        <f t="shared" si="1"/>
        <v>10.3462293075</v>
      </c>
    </row>
    <row r="9" spans="1:12" ht="12.75">
      <c r="A9" s="11" t="s">
        <v>6</v>
      </c>
      <c r="B9" s="1">
        <v>20</v>
      </c>
      <c r="C9" s="7">
        <f>B9*PI()/180</f>
        <v>0.3490658503988659</v>
      </c>
      <c r="E9" s="1" t="s">
        <v>15</v>
      </c>
      <c r="F9" s="6">
        <v>6000</v>
      </c>
      <c r="G9" s="6">
        <v>9000</v>
      </c>
      <c r="H9" s="1" t="s">
        <v>15</v>
      </c>
      <c r="I9" s="26">
        <f t="shared" si="0"/>
        <v>41.4</v>
      </c>
      <c r="J9" s="26">
        <f t="shared" si="0"/>
        <v>62.1</v>
      </c>
      <c r="K9" s="3">
        <v>400000</v>
      </c>
      <c r="L9" s="13">
        <f t="shared" si="1"/>
        <v>2.758994482</v>
      </c>
    </row>
    <row r="10" spans="1:12" ht="12.75">
      <c r="A10" s="11" t="s">
        <v>27</v>
      </c>
      <c r="B10" s="1">
        <v>1</v>
      </c>
      <c r="C10" s="12"/>
      <c r="E10" s="1" t="s">
        <v>16</v>
      </c>
      <c r="F10" s="6">
        <v>3500</v>
      </c>
      <c r="G10" s="6">
        <v>8000</v>
      </c>
      <c r="H10" s="1" t="s">
        <v>16</v>
      </c>
      <c r="I10" s="26">
        <f t="shared" si="0"/>
        <v>24.15</v>
      </c>
      <c r="J10" s="26">
        <f t="shared" si="0"/>
        <v>55.2</v>
      </c>
      <c r="K10" s="3">
        <v>500000</v>
      </c>
      <c r="L10" s="13">
        <f t="shared" si="1"/>
        <v>3.4487431024999995</v>
      </c>
    </row>
    <row r="11" spans="1:12" ht="12.75">
      <c r="A11" s="11" t="s">
        <v>3</v>
      </c>
      <c r="B11" s="6">
        <f>25.4/M</f>
        <v>25.4</v>
      </c>
      <c r="C11" s="2"/>
      <c r="E11" s="1" t="s">
        <v>17</v>
      </c>
      <c r="F11" s="6">
        <v>2500</v>
      </c>
      <c r="G11" s="6"/>
      <c r="H11" s="1" t="s">
        <v>17</v>
      </c>
      <c r="I11" s="26">
        <f>F11*6900/1000000</f>
        <v>17.25</v>
      </c>
      <c r="J11" s="27"/>
      <c r="K11" s="3">
        <v>300000</v>
      </c>
      <c r="L11" s="13">
        <f t="shared" si="1"/>
        <v>2.0692458615</v>
      </c>
    </row>
    <row r="12" spans="1:3" ht="12.75">
      <c r="A12" s="11" t="s">
        <v>2</v>
      </c>
      <c r="B12" s="1">
        <v>24</v>
      </c>
      <c r="C12" s="2"/>
    </row>
    <row r="13" spans="1:3" ht="12.75">
      <c r="A13" s="11" t="s">
        <v>4</v>
      </c>
      <c r="B13" s="1">
        <v>96</v>
      </c>
      <c r="C13" s="2"/>
    </row>
    <row r="14" spans="1:3" ht="12.75">
      <c r="A14" s="11" t="s">
        <v>30</v>
      </c>
      <c r="B14" s="1">
        <v>0.01</v>
      </c>
      <c r="C14" s="2"/>
    </row>
    <row r="15" spans="1:3" ht="12.75">
      <c r="A15" s="11" t="s">
        <v>29</v>
      </c>
      <c r="B15" s="1">
        <v>5</v>
      </c>
      <c r="C15" s="2"/>
    </row>
    <row r="16" spans="1:5" ht="12.75">
      <c r="A16" s="11" t="s">
        <v>36</v>
      </c>
      <c r="B16" s="1">
        <v>41</v>
      </c>
      <c r="C16" s="10">
        <f>sigp*25.4^2/4.45</f>
        <v>5944.170786516853</v>
      </c>
      <c r="E16"/>
    </row>
    <row r="17" spans="1:5" s="17" customFormat="1" ht="12.75">
      <c r="A17" s="11" t="s">
        <v>37</v>
      </c>
      <c r="B17" s="1">
        <v>41</v>
      </c>
      <c r="C17" s="10">
        <f>sigp*25.4^2/4.45</f>
        <v>5944.170786516853</v>
      </c>
      <c r="E17" s="18"/>
    </row>
    <row r="18" spans="1:5" ht="12.75">
      <c r="A18" s="11" t="s">
        <v>9</v>
      </c>
      <c r="B18" s="1">
        <v>1.25</v>
      </c>
      <c r="C18" s="10"/>
      <c r="E18"/>
    </row>
    <row r="19" spans="1:5" ht="12.75">
      <c r="A19" s="1" t="s">
        <v>1</v>
      </c>
      <c r="B19" s="2"/>
      <c r="C19" s="2"/>
      <c r="E19"/>
    </row>
    <row r="20" spans="1:5" ht="12.75">
      <c r="A20" s="11" t="s">
        <v>5</v>
      </c>
      <c r="B20" s="6">
        <f>Ng/Np</f>
        <v>4</v>
      </c>
      <c r="C20" s="2"/>
      <c r="E20"/>
    </row>
    <row r="21" spans="1:5" ht="12.75">
      <c r="A21" s="11" t="s">
        <v>22</v>
      </c>
      <c r="B21" s="8">
        <f>Np/P*25.4</f>
        <v>24</v>
      </c>
      <c r="C21" s="2"/>
      <c r="E21"/>
    </row>
    <row r="22" spans="1:5" ht="12.75">
      <c r="A22" s="11" t="s">
        <v>23</v>
      </c>
      <c r="B22" s="8">
        <f>Ng/P*25.4</f>
        <v>96</v>
      </c>
      <c r="C22" s="2"/>
      <c r="E22"/>
    </row>
    <row r="23" spans="1:5" ht="12.75">
      <c r="A23" s="11" t="s">
        <v>31</v>
      </c>
      <c r="B23" s="8">
        <f>(0.5*(Dp+Dg)+Ctol)</f>
        <v>60.01</v>
      </c>
      <c r="C23" s="2"/>
      <c r="E23"/>
    </row>
    <row r="24" spans="1:5" ht="12.75">
      <c r="A24" s="11" t="s">
        <v>40</v>
      </c>
      <c r="B24" s="8">
        <f>0.55*PI()/P*25.4</f>
        <v>1.7278759594743864</v>
      </c>
      <c r="C24" s="2"/>
      <c r="E24"/>
    </row>
    <row r="25" spans="1:3" ht="12.75">
      <c r="A25" s="11" t="s">
        <v>24</v>
      </c>
      <c r="B25" s="8">
        <f>1/P*25.4</f>
        <v>0.9999999999999999</v>
      </c>
      <c r="C25" s="2"/>
    </row>
    <row r="26" spans="1:3" ht="12.75">
      <c r="A26" s="11" t="s">
        <v>25</v>
      </c>
      <c r="B26" s="8">
        <f>(1.2/P+0.002)*25.4</f>
        <v>1.2508</v>
      </c>
      <c r="C26" s="2"/>
    </row>
    <row r="27" spans="1:3" ht="12.75">
      <c r="A27" s="11" t="s">
        <v>26</v>
      </c>
      <c r="B27" s="8">
        <f>(0.2/P+0.002)*25.4</f>
        <v>0.2508</v>
      </c>
      <c r="C27" s="2"/>
    </row>
    <row r="28" spans="1:3" ht="12.75">
      <c r="A28" s="11" t="s">
        <v>54</v>
      </c>
      <c r="B28" s="21">
        <f>T/(Dp/2)</f>
        <v>1</v>
      </c>
      <c r="C28" s="2"/>
    </row>
    <row r="29" spans="1:3" ht="12.75">
      <c r="A29" s="11" t="s">
        <v>55</v>
      </c>
      <c r="B29" s="21">
        <f>Fp*TAN(f)</f>
        <v>0.36397023426620234</v>
      </c>
      <c r="C29" s="2"/>
    </row>
    <row r="30" spans="1:3" ht="12.75">
      <c r="A30" s="1" t="s">
        <v>8</v>
      </c>
      <c r="B30" s="2"/>
      <c r="C30" s="2"/>
    </row>
    <row r="31" spans="1:3" ht="12.75">
      <c r="A31" s="11" t="s">
        <v>28</v>
      </c>
      <c r="B31" s="7">
        <f>w*tt</f>
        <v>8.639379797371932</v>
      </c>
      <c r="C31" s="2"/>
    </row>
    <row r="32" spans="1:3" ht="12.75">
      <c r="A32" s="11" t="s">
        <v>32</v>
      </c>
      <c r="B32" s="9">
        <f>w*tt^2/4</f>
        <v>3.7319441641619147</v>
      </c>
      <c r="C32" s="2"/>
    </row>
    <row r="33" spans="1:3" ht="12.75">
      <c r="A33" s="11" t="s">
        <v>33</v>
      </c>
      <c r="B33" s="9">
        <f>w*tt^3/12</f>
        <v>2.149445534452035</v>
      </c>
      <c r="C33" s="2"/>
    </row>
    <row r="34" spans="1:3" ht="12.75">
      <c r="A34" s="1" t="s">
        <v>7</v>
      </c>
      <c r="B34" s="2"/>
      <c r="C34" s="41" t="s">
        <v>57</v>
      </c>
    </row>
    <row r="35" spans="1:3" ht="12.75">
      <c r="A35" s="11" t="s">
        <v>48</v>
      </c>
      <c r="B35" s="21">
        <f>Fp*scf/Ac</f>
        <v>0.144686311901723</v>
      </c>
      <c r="C35" s="21">
        <f>B35/(sigp/SQRT(3))</f>
        <v>0.006112293740818092</v>
      </c>
    </row>
    <row r="36" spans="1:3" ht="12.75">
      <c r="A36" s="11" t="s">
        <v>49</v>
      </c>
      <c r="B36" s="21">
        <f>Fp*scf*Q/(w*I)</f>
        <v>0.4340589357051691</v>
      </c>
      <c r="C36" s="21">
        <f>B36/(sigp/SQRT(3))</f>
        <v>0.01833688122245428</v>
      </c>
    </row>
    <row r="37" spans="1:3" ht="12.75">
      <c r="A37" s="28" t="s">
        <v>52</v>
      </c>
      <c r="B37" s="29">
        <f>Fp*(a)*(tt/2)/I*scf</f>
        <v>0.5024190924413442</v>
      </c>
      <c r="C37" s="29">
        <f>B37/(sigp)</f>
        <v>0.012254124205886443</v>
      </c>
    </row>
    <row r="38" ht="12.75"/>
    <row r="39" spans="1:3" ht="12.75">
      <c r="A39" s="30" t="s">
        <v>53</v>
      </c>
      <c r="B39" s="30"/>
      <c r="C39" s="30"/>
    </row>
    <row r="40" spans="1:3" ht="12.75">
      <c r="A40" s="2" t="s">
        <v>45</v>
      </c>
      <c r="B40" s="1">
        <v>1</v>
      </c>
      <c r="C40" s="2"/>
    </row>
    <row r="41" spans="1:3" ht="12.75">
      <c r="A41" s="2" t="s">
        <v>44</v>
      </c>
      <c r="B41" s="8">
        <f>B40*COS(f)</f>
        <v>0.9396926207859084</v>
      </c>
      <c r="C41" s="2"/>
    </row>
    <row r="42" spans="1:3" ht="12.75">
      <c r="A42" s="2" t="s">
        <v>39</v>
      </c>
      <c r="B42" s="23">
        <v>500000</v>
      </c>
      <c r="C42" s="24">
        <f>B42/1000000</f>
        <v>0.5</v>
      </c>
    </row>
    <row r="43" spans="1:3" ht="12.75">
      <c r="A43" s="2" t="s">
        <v>43</v>
      </c>
      <c r="B43" s="10">
        <f>B41*I8/C42</f>
        <v>77.80654900107322</v>
      </c>
      <c r="C43" s="25"/>
    </row>
    <row r="44" spans="1:3" ht="12.75">
      <c r="A44" s="2" t="s">
        <v>42</v>
      </c>
      <c r="B44" s="10">
        <f>B43*Dp/2</f>
        <v>933.6785880128787</v>
      </c>
      <c r="C44" s="25"/>
    </row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</sheetData>
  <mergeCells count="9">
    <mergeCell ref="K4:L4"/>
    <mergeCell ref="I4:J4"/>
    <mergeCell ref="A2:C2"/>
    <mergeCell ref="A1:C1"/>
    <mergeCell ref="A39:C39"/>
    <mergeCell ref="F4:G4"/>
    <mergeCell ref="A3:C3"/>
    <mergeCell ref="A5:C5"/>
    <mergeCell ref="A4:C4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slocum</dc:creator>
  <cp:keywords/>
  <dc:description/>
  <cp:lastModifiedBy>Mechanical Engineering</cp:lastModifiedBy>
  <dcterms:created xsi:type="dcterms:W3CDTF">2001-01-20T00:10:40Z</dcterms:created>
  <dcterms:modified xsi:type="dcterms:W3CDTF">2007-09-28T23:48:18Z</dcterms:modified>
  <cp:category/>
  <cp:version/>
  <cp:contentType/>
  <cp:contentStatus/>
</cp:coreProperties>
</file>