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5" yWindow="65521" windowWidth="15480" windowHeight="11640" activeTab="1"/>
  </bookViews>
  <sheets>
    <sheet name="Motor size estimator" sheetId="1" r:id="rId1"/>
    <sheet name="Trdnpwr.xls" sheetId="2" r:id="rId2"/>
  </sheets>
  <definedNames>
    <definedName name="A">'Trdnpwr.xls'!$B$36</definedName>
    <definedName name="alpha">'Trdnpwr.xls'!$C$10</definedName>
    <definedName name="Beta">'Trdnpwr.xls'!$B$12</definedName>
    <definedName name="D">'Motor size estimator'!$B$4</definedName>
    <definedName name="Dm">'Motor size estimator'!$B$3</definedName>
    <definedName name="do">'Trdnpwr.xls'!$B$33</definedName>
    <definedName name="dr">'Trdnpwr.xls'!$C$32</definedName>
    <definedName name="dscrew">'Trdnpwr.xls'!$B$8</definedName>
    <definedName name="dthrust">'Trdnpwr.xls'!$B$9</definedName>
    <definedName name="E">'Trdnpwr.xls'!$B$35</definedName>
    <definedName name="et">'Trdnpwr.xls'!$B$18</definedName>
    <definedName name="eta">'Trdnpwr.xls'!$B$19</definedName>
    <definedName name="etagearbox">'Trdnpwr.xls'!$B$27</definedName>
    <definedName name="etamotor">'Motor size estimator'!$B$14</definedName>
    <definedName name="etas">'Motor size estimator'!$B$13</definedName>
    <definedName name="etathrust">'Trdnpwr.xls'!$B$15</definedName>
    <definedName name="gammotor">'Trdnpwr.xls'!$B$28</definedName>
    <definedName name="gamscrew">'Trdnpwr.xls'!$B$13</definedName>
    <definedName name="gamthrust">'Trdnpwr.xls'!$B$14</definedName>
    <definedName name="gamtotal">'Trdnpwr.xls'!$B$16</definedName>
    <definedName name="I">'Trdnpwr.xls'!$B$37</definedName>
    <definedName name="Iinc">'Trdnpwr.xls'!$B$47</definedName>
    <definedName name="K">'Trdnpwr.xls'!$B$48</definedName>
    <definedName name="L">'Trdnpwr.xls'!$C$31</definedName>
    <definedName name="Lead">'Trdnpwr.xls'!$B$6</definedName>
    <definedName name="length">'Motor size estimator'!$B$5</definedName>
    <definedName name="linc">'Trdnpwr.xls'!$B$14</definedName>
    <definedName name="Lm">'Motor size estimator'!$B$4</definedName>
    <definedName name="Ls">'Motor size estimator'!$B$12</definedName>
    <definedName name="mu">'Trdnpwr.xls'!$B$7</definedName>
    <definedName name="n">'Trdnpwr.xls'!$B$23</definedName>
    <definedName name="P">'Motor size estimator'!$B$3</definedName>
    <definedName name="Pm">'Motor size estimator'!$B$2</definedName>
    <definedName name="preq">'Trdnpwr.xls'!$B$29</definedName>
    <definedName name="rho">'Trdnpwr.xls'!$B$34</definedName>
    <definedName name="s">'Trdnpwr.xls'!$B$24</definedName>
    <definedName name="scf">'Trdnpwr.xls'!$B$11</definedName>
    <definedName name="screwlead">'Motor size estimator'!$B$13</definedName>
    <definedName name="sig">'Trdnpwr.xls'!$B$21</definedName>
    <definedName name="sigma">'Trdnpwr.xls'!$B$22</definedName>
    <definedName name="T">'Motor size estimator'!$B$6</definedName>
    <definedName name="tau">'Trdnpwr.xls'!$B$20</definedName>
    <definedName name="thrust">'Trdnpwr.xls'!$B$5</definedName>
    <definedName name="Tm">'Motor size estimator'!$B$5</definedName>
    <definedName name="tt">'Trdnpwr.xls'!$B$25</definedName>
    <definedName name="w">'Trdnpwr.xls'!$C$26</definedName>
  </definedNames>
  <calcPr fullCalcOnLoad="1"/>
</workbook>
</file>

<file path=xl/sharedStrings.xml><?xml version="1.0" encoding="utf-8"?>
<sst xmlns="http://schemas.openxmlformats.org/spreadsheetml/2006/main" count="67" uniqueCount="67">
  <si>
    <t>Beta</t>
  </si>
  <si>
    <t>Backdriveable?</t>
  </si>
  <si>
    <t>Backdriveability</t>
  </si>
  <si>
    <t>Raising torque</t>
  </si>
  <si>
    <t>Thrust bearing diameter, dthrust (mm)</t>
  </si>
  <si>
    <t>Lead, (mm)</t>
  </si>
  <si>
    <t>Shaft Stability</t>
  </si>
  <si>
    <t>for leadscrews (else enter root diameter same as outer diameter)</t>
  </si>
  <si>
    <t>density rho (kg/m^3)</t>
  </si>
  <si>
    <t>Modulus E (M/m^2)</t>
  </si>
  <si>
    <t>Area A</t>
  </si>
  <si>
    <t>based on diameter</t>
  </si>
  <si>
    <t>Inertia I (m^4)</t>
  </si>
  <si>
    <t>based on root diameter</t>
  </si>
  <si>
    <t>Cantilevered</t>
  </si>
  <si>
    <t>Simply Supported</t>
  </si>
  <si>
    <t>Fixed-simple</t>
  </si>
  <si>
    <t>fixed-fixed</t>
  </si>
  <si>
    <t>Buckling load (N)</t>
  </si>
  <si>
    <t>First critical frequency (rpm)</t>
  </si>
  <si>
    <t>2nd critical frequency (rpm)</t>
  </si>
  <si>
    <t>3rd critical frequency (rpm)</t>
  </si>
  <si>
    <t>4th critical frequency (rpm)</t>
  </si>
  <si>
    <t>linc</t>
  </si>
  <si>
    <t>Shaft support K</t>
  </si>
  <si>
    <t>Unsupported shaft length (m)</t>
  </si>
  <si>
    <t>Position/L(m)</t>
  </si>
  <si>
    <t>Critical Speed (rpm)</t>
  </si>
  <si>
    <t>wn (rad/sec)</t>
  </si>
  <si>
    <t>Travel (m)</t>
  </si>
  <si>
    <t>Travel length L (mm, m)</t>
  </si>
  <si>
    <t>root diameter dr (mm, m)</t>
  </si>
  <si>
    <t>outer diameter do (mm, m)</t>
  </si>
  <si>
    <t>leadscrew_design.xls</t>
  </si>
  <si>
    <t>Thread angle (deg), alpha (rad)</t>
  </si>
  <si>
    <t>Coefficient of friction, mu</t>
  </si>
  <si>
    <t>Screw pitch diameter, dscrew (mm)</t>
  </si>
  <si>
    <t>Thread root stress concentration, scf</t>
  </si>
  <si>
    <t>Force (no help from gravity), thrust (N)</t>
  </si>
  <si>
    <t>Thrust bearing efficiency, etathrust</t>
  </si>
  <si>
    <t>Torque required at screw, gamscrew (N-mm)</t>
  </si>
  <si>
    <t>Torque required at thrust bearing, gamthrust(N-mm)</t>
  </si>
  <si>
    <t>Total torque, gamtotal (N-mm)</t>
  </si>
  <si>
    <t>Total system efficiency, eta</t>
  </si>
  <si>
    <t>Estimated torsional stress, tau (N/mm^2)</t>
  </si>
  <si>
    <t>Tensile stress, sig (N/mm^2)</t>
  </si>
  <si>
    <t>Mises equivelant stress, sigma (N/mm^2)</t>
  </si>
  <si>
    <t>Gearbox ratio, n</t>
  </si>
  <si>
    <t>Travel, s (mm)</t>
  </si>
  <si>
    <t>Time to travel, tt (s)</t>
  </si>
  <si>
    <t>Motor speed, w (rpm, rad/s)</t>
  </si>
  <si>
    <t>Gearbox efficiency, etagearbox</t>
  </si>
  <si>
    <t>Motor torque, gammotor (N-mm)</t>
  </si>
  <si>
    <t>Power, Preq (watts)</t>
  </si>
  <si>
    <t>Thread efficiency to generate force, et</t>
  </si>
  <si>
    <t>By Alex Slocum, last modified 2/12/04 by Alex Slocum</t>
  </si>
  <si>
    <r>
      <t xml:space="preserve">Enter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output in </t>
    </r>
    <r>
      <rPr>
        <b/>
        <sz val="10"/>
        <color indexed="10"/>
        <rFont val="Times New Roman"/>
        <family val="1"/>
      </rPr>
      <t>RED</t>
    </r>
  </si>
  <si>
    <t>To design leadscrews</t>
  </si>
  <si>
    <t>electromagnetic shear, P</t>
  </si>
  <si>
    <t>casing diameter factor</t>
  </si>
  <si>
    <t>motor OD (mm)</t>
  </si>
  <si>
    <t>axial force</t>
  </si>
  <si>
    <t>rotor diameter, Dm (m, mm)</t>
  </si>
  <si>
    <t>rotor length, Lm (m, mm)</t>
  </si>
  <si>
    <t>torque, Tm (N-m)</t>
  </si>
  <si>
    <t>lead, Ls (m, mm)</t>
  </si>
  <si>
    <t>system efficiency, etas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</si>
</sst>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#,##0.000"/>
    <numFmt numFmtId="168" formatCode="0.000000"/>
    <numFmt numFmtId="169" formatCode="0.00000"/>
    <numFmt numFmtId="170" formatCode="0.0000"/>
    <numFmt numFmtId="171" formatCode="0.0000000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11" fontId="4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9" fontId="8" fillId="0" borderId="1" xfId="21" applyFont="1" applyBorder="1" applyAlignment="1">
      <alignment horizontal="right"/>
    </xf>
    <xf numFmtId="1" fontId="8" fillId="0" borderId="1" xfId="0" applyNumberFormat="1" applyFont="1" applyBorder="1" applyAlignment="1">
      <alignment/>
    </xf>
    <xf numFmtId="9" fontId="7" fillId="0" borderId="1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1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" fontId="8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4" fontId="8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9" fontId="8" fillId="0" borderId="0" xfId="21" applyFont="1" applyAlignment="1">
      <alignment/>
    </xf>
    <xf numFmtId="0" fontId="4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'Trdnpwr.xls'!$C$50</c:f>
              <c:strCache>
                <c:ptCount val="1"/>
                <c:pt idx="0">
                  <c:v>Critical Speed (rpm)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'Trdnpwr.xls'!$B$51:$B$75</c:f>
              <c:numCache/>
            </c:numRef>
          </c:xVal>
          <c:yVal>
            <c:numRef>
              <c:f>'Trdnpwr.xls'!$C$51:$C$75</c:f>
              <c:numCache/>
            </c:numRef>
          </c:yVal>
          <c:smooth val="1"/>
        </c:ser>
        <c:axId val="60601846"/>
        <c:axId val="8545703"/>
      </c:scatterChart>
      <c:valAx>
        <c:axId val="6060184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Position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545703"/>
        <c:crosses val="autoZero"/>
        <c:crossBetween val="midCat"/>
        <c:dispUnits/>
        <c:minorUnit val="0.05"/>
      </c:valAx>
      <c:valAx>
        <c:axId val="8545703"/>
        <c:scaling>
          <c:orientation val="minMax"/>
          <c:max val="8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Critical Speed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601846"/>
        <c:crosses val="autoZero"/>
        <c:crossBetween val="midCat"/>
        <c:dispUnits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40</xdr:row>
      <xdr:rowOff>9525</xdr:rowOff>
    </xdr:from>
    <xdr:to>
      <xdr:col>12</xdr:col>
      <xdr:colOff>695325</xdr:colOff>
      <xdr:row>66</xdr:row>
      <xdr:rowOff>85725</xdr:rowOff>
    </xdr:to>
    <xdr:graphicFrame>
      <xdr:nvGraphicFramePr>
        <xdr:cNvPr id="1" name="Chart 8"/>
        <xdr:cNvGraphicFramePr/>
      </xdr:nvGraphicFramePr>
      <xdr:xfrm>
        <a:off x="6115050" y="6496050"/>
        <a:ext cx="64960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581025</xdr:colOff>
      <xdr:row>13</xdr:row>
      <xdr:rowOff>133350</xdr:rowOff>
    </xdr:from>
    <xdr:to>
      <xdr:col>11</xdr:col>
      <xdr:colOff>180975</xdr:colOff>
      <xdr:row>28</xdr:row>
      <xdr:rowOff>85725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247900"/>
          <a:ext cx="65341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H11" sqref="H11"/>
    </sheetView>
  </sheetViews>
  <sheetFormatPr defaultColWidth="9.00390625" defaultRowHeight="12.75"/>
  <cols>
    <col min="1" max="1" width="25.75390625" style="0" customWidth="1"/>
    <col min="2" max="2" width="12.25390625" style="0" bestFit="1" customWidth="1"/>
  </cols>
  <sheetData>
    <row r="2" spans="1:3" ht="12.75">
      <c r="A2" t="s">
        <v>58</v>
      </c>
      <c r="B2" s="28">
        <v>20000</v>
      </c>
      <c r="C2" s="28"/>
    </row>
    <row r="3" spans="1:3" ht="12.75">
      <c r="A3" t="s">
        <v>62</v>
      </c>
      <c r="B3" s="29">
        <f>C3/1000</f>
        <v>0.015</v>
      </c>
      <c r="C3" s="28">
        <v>15</v>
      </c>
    </row>
    <row r="4" spans="1:3" ht="12.75">
      <c r="A4" t="s">
        <v>63</v>
      </c>
      <c r="B4" s="29">
        <f>C4/1000</f>
        <v>0.02</v>
      </c>
      <c r="C4" s="28">
        <v>20</v>
      </c>
    </row>
    <row r="5" spans="1:3" ht="12.75">
      <c r="A5" t="s">
        <v>64</v>
      </c>
      <c r="B5" s="29">
        <f>Pm*(Dm/2)*Dm*Lm*PI()</f>
        <v>0.1413716694115407</v>
      </c>
      <c r="C5" s="28"/>
    </row>
    <row r="6" spans="2:3" ht="12.75">
      <c r="B6" s="28"/>
      <c r="C6" s="28"/>
    </row>
    <row r="7" spans="1:3" ht="12.75">
      <c r="A7" t="s">
        <v>59</v>
      </c>
      <c r="B7" s="28">
        <v>1.5</v>
      </c>
      <c r="C7" s="28"/>
    </row>
    <row r="8" spans="1:3" ht="12.75">
      <c r="A8" t="s">
        <v>60</v>
      </c>
      <c r="B8" s="29">
        <f>B7*C3</f>
        <v>22.5</v>
      </c>
      <c r="C8" s="28"/>
    </row>
    <row r="9" spans="2:3" ht="12.75">
      <c r="B9" s="28"/>
      <c r="C9" s="28"/>
    </row>
    <row r="10" spans="2:3" ht="12.75">
      <c r="B10" s="28"/>
      <c r="C10" s="28"/>
    </row>
    <row r="11" spans="2:3" ht="12.75">
      <c r="B11" s="28"/>
      <c r="C11" s="28"/>
    </row>
    <row r="12" spans="1:3" ht="12.75">
      <c r="A12" t="s">
        <v>65</v>
      </c>
      <c r="B12" s="28">
        <f>C12/1000</f>
        <v>0.002</v>
      </c>
      <c r="C12" s="28">
        <v>2</v>
      </c>
    </row>
    <row r="13" spans="1:3" ht="12.75">
      <c r="A13" t="s">
        <v>66</v>
      </c>
      <c r="B13" s="28">
        <v>0.9</v>
      </c>
      <c r="C13" s="28"/>
    </row>
    <row r="14" spans="1:3" ht="12.75">
      <c r="A14" t="s">
        <v>61</v>
      </c>
      <c r="B14" s="30">
        <f>Tm*2*PI()*etas/Ls</f>
        <v>399.718978244119</v>
      </c>
      <c r="C14" s="28"/>
    </row>
  </sheetData>
  <printOptions/>
  <pageMargins left="0.75" right="0.75" top="1" bottom="1" header="0.5" footer="0.5"/>
  <pageSetup horizontalDpi="525" verticalDpi="5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2">
      <selection activeCell="B33" sqref="B33"/>
    </sheetView>
  </sheetViews>
  <sheetFormatPr defaultColWidth="9.00390625" defaultRowHeight="12.75"/>
  <cols>
    <col min="1" max="1" width="40.375" style="3" customWidth="1"/>
    <col min="2" max="2" width="8.00390625" style="3" customWidth="1"/>
    <col min="3" max="3" width="5.625" style="3" customWidth="1"/>
    <col min="4" max="16384" width="11.375" style="3" customWidth="1"/>
  </cols>
  <sheetData>
    <row r="1" spans="1:3" ht="12.75">
      <c r="A1" s="37" t="s">
        <v>33</v>
      </c>
      <c r="B1" s="38"/>
      <c r="C1" s="39"/>
    </row>
    <row r="2" spans="1:3" ht="12.75">
      <c r="A2" s="31" t="s">
        <v>57</v>
      </c>
      <c r="B2" s="32"/>
      <c r="C2" s="33"/>
    </row>
    <row r="3" spans="1:3" ht="12.75">
      <c r="A3" s="31" t="s">
        <v>55</v>
      </c>
      <c r="B3" s="32"/>
      <c r="C3" s="33"/>
    </row>
    <row r="4" spans="1:3" ht="13.5" thickBot="1">
      <c r="A4" s="34" t="s">
        <v>56</v>
      </c>
      <c r="B4" s="35"/>
      <c r="C4" s="36"/>
    </row>
    <row r="5" spans="1:7" ht="12.75">
      <c r="A5" s="26" t="s">
        <v>38</v>
      </c>
      <c r="B5" s="27">
        <v>500</v>
      </c>
      <c r="C5" s="26"/>
      <c r="E5" s="3" t="s">
        <v>2</v>
      </c>
      <c r="G5" s="3" t="s">
        <v>3</v>
      </c>
    </row>
    <row r="6" spans="1:3" ht="12.75">
      <c r="A6" s="2" t="s">
        <v>5</v>
      </c>
      <c r="B6" s="1">
        <v>1</v>
      </c>
      <c r="C6" s="2"/>
    </row>
    <row r="7" spans="1:3" ht="12.75">
      <c r="A7" s="2" t="s">
        <v>35</v>
      </c>
      <c r="B7" s="1">
        <v>0.2</v>
      </c>
      <c r="C7" s="2"/>
    </row>
    <row r="8" spans="1:3" ht="12.75">
      <c r="A8" s="2" t="s">
        <v>36</v>
      </c>
      <c r="B8" s="1">
        <v>6</v>
      </c>
      <c r="C8" s="4"/>
    </row>
    <row r="9" spans="1:3" ht="12.75">
      <c r="A9" s="2" t="s">
        <v>4</v>
      </c>
      <c r="B9" s="1">
        <v>9</v>
      </c>
      <c r="C9" s="4"/>
    </row>
    <row r="10" spans="1:3" ht="12.75">
      <c r="A10" s="2" t="s">
        <v>34</v>
      </c>
      <c r="B10" s="1">
        <v>30</v>
      </c>
      <c r="C10" s="5">
        <f>PI()*B10/180</f>
        <v>0.5235987755982988</v>
      </c>
    </row>
    <row r="11" spans="1:3" ht="12.75">
      <c r="A11" s="2" t="s">
        <v>37</v>
      </c>
      <c r="B11" s="1">
        <v>1.5</v>
      </c>
      <c r="C11" s="5"/>
    </row>
    <row r="12" spans="1:3" ht="12.75">
      <c r="A12" s="2" t="s">
        <v>0</v>
      </c>
      <c r="B12" s="6">
        <f>Lead/dscrew</f>
        <v>0.16666666666666666</v>
      </c>
      <c r="C12" s="2"/>
    </row>
    <row r="13" spans="1:3" ht="12.75">
      <c r="A13" s="2" t="s">
        <v>40</v>
      </c>
      <c r="B13" s="7">
        <f>thrust*Lead/(2*PI()*et)</f>
        <v>431.271464620077</v>
      </c>
      <c r="C13" s="8"/>
    </row>
    <row r="14" spans="1:3" ht="12.75">
      <c r="A14" s="2" t="s">
        <v>41</v>
      </c>
      <c r="B14" s="7">
        <f>thrust*(dthrust/2)*mu</f>
        <v>450</v>
      </c>
      <c r="C14" s="8"/>
    </row>
    <row r="15" spans="1:3" ht="12.75">
      <c r="A15" s="2" t="s">
        <v>39</v>
      </c>
      <c r="B15" s="25">
        <f>Lead/(Lead+dthrust*mu*PI()*et)</f>
        <v>0.4893741394497567</v>
      </c>
      <c r="C15" s="8"/>
    </row>
    <row r="16" spans="1:3" ht="12.75">
      <c r="A16" s="2" t="s">
        <v>42</v>
      </c>
      <c r="B16" s="7">
        <f>B13+B14</f>
        <v>881.271464620077</v>
      </c>
      <c r="C16" s="8"/>
    </row>
    <row r="17" spans="1:3" ht="12.75">
      <c r="A17" s="2" t="s">
        <v>1</v>
      </c>
      <c r="B17" s="9" t="str">
        <f>IF(Lead&lt;2*PI()*(dscrew/2)*mu/COS(alpha),"NO","YES")</f>
        <v>NO</v>
      </c>
      <c r="C17" s="8"/>
    </row>
    <row r="18" spans="1:3" ht="12.75">
      <c r="A18" s="2" t="s">
        <v>54</v>
      </c>
      <c r="B18" s="10">
        <f>(COS(alpha)-mu*Beta/PI())/(COS(alpha)+mu*PI()/Beta)</f>
        <v>0.18451828621689687</v>
      </c>
      <c r="C18" s="8"/>
    </row>
    <row r="19" spans="1:3" ht="12.75">
      <c r="A19" s="2" t="s">
        <v>43</v>
      </c>
      <c r="B19" s="10">
        <f>et*etathrust</f>
        <v>0.09029847753013781</v>
      </c>
      <c r="C19" s="8"/>
    </row>
    <row r="20" spans="1:3" ht="12.75">
      <c r="A20" s="2" t="s">
        <v>44</v>
      </c>
      <c r="B20" s="23">
        <f>(B13*16)/(PI()*(0.9*B8)^3)</f>
        <v>13.94888693974835</v>
      </c>
      <c r="C20" s="2"/>
    </row>
    <row r="21" spans="1:3" ht="12.75">
      <c r="A21" s="2" t="s">
        <v>45</v>
      </c>
      <c r="B21" s="23">
        <f>thrust/(PI()*(0.9*dscrew)^2/4)</f>
        <v>21.831953784896477</v>
      </c>
      <c r="C21" s="2"/>
    </row>
    <row r="22" spans="1:3" ht="12.75">
      <c r="A22" s="2" t="s">
        <v>46</v>
      </c>
      <c r="B22" s="24">
        <f>scf*SQRT(B21^2+3*B20^2)</f>
        <v>48.84449027207551</v>
      </c>
      <c r="C22" s="2"/>
    </row>
    <row r="23" spans="1:3" ht="12.75">
      <c r="A23" s="2" t="s">
        <v>47</v>
      </c>
      <c r="B23" s="1">
        <v>1</v>
      </c>
      <c r="C23" s="2"/>
    </row>
    <row r="24" spans="1:3" ht="12.75">
      <c r="A24" s="2" t="s">
        <v>48</v>
      </c>
      <c r="B24" s="1">
        <v>200</v>
      </c>
      <c r="C24" s="2"/>
    </row>
    <row r="25" spans="1:3" ht="12.75">
      <c r="A25" s="2" t="s">
        <v>49</v>
      </c>
      <c r="B25" s="1">
        <v>5</v>
      </c>
      <c r="C25" s="2"/>
    </row>
    <row r="26" spans="1:3" ht="12.75">
      <c r="A26" s="2" t="s">
        <v>50</v>
      </c>
      <c r="B26" s="6">
        <f>60*s*n/(Lead*tt)</f>
        <v>2400</v>
      </c>
      <c r="C26" s="11">
        <f>B26*2*PI()/60</f>
        <v>251.32741228718345</v>
      </c>
    </row>
    <row r="27" spans="1:4" ht="12.75">
      <c r="A27" s="2" t="s">
        <v>51</v>
      </c>
      <c r="B27" s="12">
        <v>0.9</v>
      </c>
      <c r="C27" s="2"/>
      <c r="D27" s="13"/>
    </row>
    <row r="28" spans="1:3" ht="12.75">
      <c r="A28" s="2" t="s">
        <v>52</v>
      </c>
      <c r="B28" s="11">
        <f>gamtotal/(n*etagearbox)</f>
        <v>979.19051624453</v>
      </c>
      <c r="C28" s="8"/>
    </row>
    <row r="29" spans="1:3" ht="12.75">
      <c r="A29" s="2" t="s">
        <v>53</v>
      </c>
      <c r="B29" s="11">
        <f>B28*C26/1000</f>
        <v>246.097418583889</v>
      </c>
      <c r="C29" s="8"/>
    </row>
    <row r="30" ht="12.75">
      <c r="A30" s="14" t="s">
        <v>6</v>
      </c>
    </row>
    <row r="31" spans="1:3" ht="12.75">
      <c r="A31" s="3" t="s">
        <v>30</v>
      </c>
      <c r="B31" s="14">
        <v>200</v>
      </c>
      <c r="C31" s="15">
        <f>B31/1000</f>
        <v>0.2</v>
      </c>
    </row>
    <row r="32" spans="1:4" ht="12.75">
      <c r="A32" s="3" t="s">
        <v>31</v>
      </c>
      <c r="B32" s="14">
        <v>6</v>
      </c>
      <c r="C32" s="15">
        <f>B32/1000</f>
        <v>0.006</v>
      </c>
      <c r="D32" s="3" t="s">
        <v>7</v>
      </c>
    </row>
    <row r="33" spans="1:3" ht="12.75">
      <c r="A33" s="3" t="s">
        <v>32</v>
      </c>
      <c r="B33" s="16">
        <f>dscrew/1000</f>
        <v>0.006</v>
      </c>
      <c r="C33" s="14"/>
    </row>
    <row r="34" spans="1:2" ht="12.75">
      <c r="A34" s="3" t="s">
        <v>8</v>
      </c>
      <c r="B34" s="14">
        <v>7900</v>
      </c>
    </row>
    <row r="35" spans="1:2" ht="12.75">
      <c r="A35" s="3" t="s">
        <v>9</v>
      </c>
      <c r="B35" s="17">
        <v>200000000000</v>
      </c>
    </row>
    <row r="36" spans="1:3" ht="12.75">
      <c r="A36" s="3" t="s">
        <v>10</v>
      </c>
      <c r="B36" s="3">
        <f>PI()*do^2/4</f>
        <v>2.8274333882308137E-05</v>
      </c>
      <c r="C36" s="3" t="s">
        <v>11</v>
      </c>
    </row>
    <row r="37" spans="1:3" ht="12.75">
      <c r="A37" s="3" t="s">
        <v>12</v>
      </c>
      <c r="B37" s="3">
        <f>PI()*dr^4/64</f>
        <v>6.361725123519332E-11</v>
      </c>
      <c r="C37" s="3" t="s">
        <v>13</v>
      </c>
    </row>
    <row r="40" spans="2:5" ht="12.75">
      <c r="B40" s="18" t="s">
        <v>14</v>
      </c>
      <c r="C40" s="18" t="s">
        <v>15</v>
      </c>
      <c r="D40" s="18" t="s">
        <v>16</v>
      </c>
      <c r="E40" s="18" t="s">
        <v>17</v>
      </c>
    </row>
    <row r="41" spans="1:5" ht="12.75">
      <c r="A41" s="3" t="s">
        <v>18</v>
      </c>
      <c r="B41" s="19">
        <f>2.47*E*I/L^2</f>
        <v>785.6730527546374</v>
      </c>
      <c r="C41" s="19">
        <f>9.87*E*I/L^2</f>
        <v>3139.511348456789</v>
      </c>
      <c r="D41" s="19">
        <f>20.2*E*I/L^2</f>
        <v>6425.342374754524</v>
      </c>
      <c r="E41" s="19">
        <f>39.5*E*I/L^2</f>
        <v>12564.407118950678</v>
      </c>
    </row>
    <row r="42" spans="1:5" ht="12.75">
      <c r="A42" s="3" t="s">
        <v>19</v>
      </c>
      <c r="B42" s="19">
        <f>1.875^2*SQRT(E*I/(A*rho*L^4))*(60/(2*PI()))</f>
        <v>6334.416943399508</v>
      </c>
      <c r="C42" s="19">
        <f>3.142^2*SQRT(E*I/(A*rho*L^4))*(60/(2*PI()))</f>
        <v>17787.56349429153</v>
      </c>
      <c r="D42" s="19">
        <f>3.927^2*SQRT(E*I/(A*rho*L^4))*(60/(2*PI()))</f>
        <v>27785.99188119842</v>
      </c>
      <c r="E42" s="19">
        <f>4.73^2*SQRT(E*I/(A*rho*L^4))*(60/(2*PI()))</f>
        <v>40311.26096582625</v>
      </c>
    </row>
    <row r="43" spans="1:5" ht="12.75">
      <c r="A43" s="3" t="s">
        <v>20</v>
      </c>
      <c r="B43" s="19">
        <f>4.694^2*SQRT(E*I/(A*rho*L^4))*(60/(2*PI()))</f>
        <v>39699.97858221437</v>
      </c>
      <c r="C43" s="19">
        <f>6.283^2*SQRT(E*I/(A*rho*L^4))*(60/(2*PI()))</f>
        <v>71127.61088590136</v>
      </c>
      <c r="D43" s="19">
        <f>7.069^2*SQRT(E*I/(A*rho*L^4))*(60/(2*PI()))</f>
        <v>90036.80288795516</v>
      </c>
      <c r="E43" s="19">
        <f>7.853^2*SQRT(E*I/(A*rho*L^4))*(60/(2*PI()))</f>
        <v>111115.66681384471</v>
      </c>
    </row>
    <row r="44" spans="1:5" ht="12.75">
      <c r="A44" s="3" t="s">
        <v>21</v>
      </c>
      <c r="B44" s="19">
        <f>7.855^2*SQRT(E*I/(A*rho*L^4))*(60/(2*PI()))</f>
        <v>111172.2718393221</v>
      </c>
      <c r="C44" s="19">
        <f>9.425^2*SQRT(E*I/(A*rho*L^4))*(60/(2*PI()))</f>
        <v>160054.1059108318</v>
      </c>
      <c r="D44" s="19">
        <f>10.21^2*SQRT(E*I/(A*rho*L^4))*(60/(2*PI()))</f>
        <v>187825.9465356609</v>
      </c>
      <c r="E44" s="19">
        <f>10.996^2*SQRT(E*I/(A*rho*L^4))*(60/(2*PI()))</f>
        <v>217858.02604401566</v>
      </c>
    </row>
    <row r="45" spans="1:5" ht="12.75">
      <c r="A45" s="3" t="s">
        <v>22</v>
      </c>
      <c r="B45" s="19">
        <f>10.996^2*SQRT(E*I/(A*rho*L^4))*(60/(2*PI()))</f>
        <v>217858.02604401566</v>
      </c>
      <c r="C45" s="19">
        <f>12.566^2*SQRT(E*I/(A*rho*L^4))*(60/(2*PI()))</f>
        <v>284510.44354360545</v>
      </c>
      <c r="D45" s="19">
        <f>13.352^2*SQRT(E*I/(A*rho*L^4))*(60/(2*PI()))</f>
        <v>321215.6890730565</v>
      </c>
      <c r="E45" s="19">
        <f>14.137^2*SQRT(E*I/(A*rho*L^4))*(60/(2*PI()))</f>
        <v>360096.26594781724</v>
      </c>
    </row>
    <row r="47" spans="1:2" ht="12.75">
      <c r="A47" s="3" t="s">
        <v>23</v>
      </c>
      <c r="B47" s="20">
        <f>L/24</f>
        <v>0.008333333333333333</v>
      </c>
    </row>
    <row r="48" spans="1:2" ht="12.75">
      <c r="A48" s="3" t="s">
        <v>24</v>
      </c>
      <c r="B48" s="14">
        <v>3.142</v>
      </c>
    </row>
    <row r="50" spans="1:5" ht="12.75">
      <c r="A50" s="3" t="s">
        <v>25</v>
      </c>
      <c r="B50" s="3" t="s">
        <v>26</v>
      </c>
      <c r="C50" s="3" t="s">
        <v>27</v>
      </c>
      <c r="D50" s="3" t="s">
        <v>28</v>
      </c>
      <c r="E50" s="3" t="s">
        <v>29</v>
      </c>
    </row>
    <row r="51" spans="1:5" ht="12.75">
      <c r="A51" s="21">
        <f>L</f>
        <v>0.2</v>
      </c>
      <c r="B51" s="21">
        <f>E51/L</f>
        <v>0</v>
      </c>
      <c r="C51" s="13">
        <f aca="true" t="shared" si="0" ref="C51:C75">60*D51/(2*PI())</f>
        <v>17787.56349429153</v>
      </c>
      <c r="D51" s="13">
        <f aca="true" t="shared" si="1" ref="D51:D75">K^2*SQRT(E*I/(A*rho*A51^4))</f>
        <v>1862.7092932976088</v>
      </c>
      <c r="E51" s="22">
        <f>0/L</f>
        <v>0</v>
      </c>
    </row>
    <row r="52" spans="1:5" ht="12.75">
      <c r="A52" s="21">
        <f aca="true" t="shared" si="2" ref="A52:A63">A51-Iinc</f>
        <v>0.19166666666666668</v>
      </c>
      <c r="B52" s="21">
        <f aca="true" t="shared" si="3" ref="B52:B75">E52/L</f>
        <v>0.041666666666666664</v>
      </c>
      <c r="C52" s="13">
        <f t="shared" si="0"/>
        <v>19367.93302970118</v>
      </c>
      <c r="D52" s="13">
        <f t="shared" si="1"/>
        <v>2028.2052040442775</v>
      </c>
      <c r="E52" s="22">
        <f aca="true" t="shared" si="4" ref="E52:E75">(E51+Iinc)</f>
        <v>0.008333333333333333</v>
      </c>
    </row>
    <row r="53" spans="1:5" ht="12.75">
      <c r="A53" s="21">
        <f t="shared" si="2"/>
        <v>0.18333333333333335</v>
      </c>
      <c r="B53" s="21">
        <f t="shared" si="3"/>
        <v>0.08333333333333333</v>
      </c>
      <c r="C53" s="13">
        <f t="shared" si="0"/>
        <v>21168.6706047767</v>
      </c>
      <c r="D53" s="13">
        <f t="shared" si="1"/>
        <v>2216.778001940956</v>
      </c>
      <c r="E53" s="22">
        <f t="shared" si="4"/>
        <v>0.016666666666666666</v>
      </c>
    </row>
    <row r="54" spans="1:5" ht="12.75">
      <c r="A54" s="21">
        <f t="shared" si="2"/>
        <v>0.17500000000000002</v>
      </c>
      <c r="B54" s="21">
        <f t="shared" si="3"/>
        <v>0.125</v>
      </c>
      <c r="C54" s="13">
        <f t="shared" si="0"/>
        <v>23232.73599254404</v>
      </c>
      <c r="D54" s="13">
        <f t="shared" si="1"/>
        <v>2432.9264238989176</v>
      </c>
      <c r="E54" s="22">
        <f t="shared" si="4"/>
        <v>0.025</v>
      </c>
    </row>
    <row r="55" spans="1:5" ht="12.75">
      <c r="A55" s="21">
        <f t="shared" si="2"/>
        <v>0.16666666666666669</v>
      </c>
      <c r="B55" s="21">
        <f t="shared" si="3"/>
        <v>0.16666666666666666</v>
      </c>
      <c r="C55" s="13">
        <f t="shared" si="0"/>
        <v>25614.0914317798</v>
      </c>
      <c r="D55" s="13">
        <f t="shared" si="1"/>
        <v>2682.3013823485567</v>
      </c>
      <c r="E55" s="22">
        <f t="shared" si="4"/>
        <v>0.03333333333333333</v>
      </c>
    </row>
    <row r="56" spans="1:5" ht="12.75">
      <c r="A56" s="21">
        <f t="shared" si="2"/>
        <v>0.15833333333333335</v>
      </c>
      <c r="B56" s="21">
        <f t="shared" si="3"/>
        <v>0.20833333333333331</v>
      </c>
      <c r="C56" s="13">
        <f t="shared" si="0"/>
        <v>28381.264744354354</v>
      </c>
      <c r="D56" s="13">
        <f t="shared" si="1"/>
        <v>2972.079094015021</v>
      </c>
      <c r="E56" s="22">
        <f t="shared" si="4"/>
        <v>0.041666666666666664</v>
      </c>
    </row>
    <row r="57" spans="1:5" ht="12.75">
      <c r="A57" s="21">
        <f t="shared" si="2"/>
        <v>0.15000000000000002</v>
      </c>
      <c r="B57" s="21">
        <f t="shared" si="3"/>
        <v>0.24999999999999997</v>
      </c>
      <c r="C57" s="13">
        <f t="shared" si="0"/>
        <v>31622.335100962715</v>
      </c>
      <c r="D57" s="13">
        <f t="shared" si="1"/>
        <v>3311.4831880846373</v>
      </c>
      <c r="E57" s="22">
        <f t="shared" si="4"/>
        <v>0.049999999999999996</v>
      </c>
    </row>
    <row r="58" spans="1:5" ht="12.75">
      <c r="A58" s="21">
        <f t="shared" si="2"/>
        <v>0.1416666666666667</v>
      </c>
      <c r="B58" s="21">
        <f t="shared" si="3"/>
        <v>0.29166666666666663</v>
      </c>
      <c r="C58" s="13">
        <f t="shared" si="0"/>
        <v>35452.02966336305</v>
      </c>
      <c r="D58" s="13">
        <f t="shared" si="1"/>
        <v>3712.5278648422923</v>
      </c>
      <c r="E58" s="22">
        <f t="shared" si="4"/>
        <v>0.05833333333333333</v>
      </c>
    </row>
    <row r="59" spans="1:5" ht="12.75">
      <c r="A59" s="21">
        <f t="shared" si="2"/>
        <v>0.13333333333333336</v>
      </c>
      <c r="B59" s="21">
        <f t="shared" si="3"/>
        <v>0.3333333333333333</v>
      </c>
      <c r="C59" s="13">
        <f t="shared" si="0"/>
        <v>40022.01786215594</v>
      </c>
      <c r="D59" s="13">
        <f t="shared" si="1"/>
        <v>4191.095909919619</v>
      </c>
      <c r="E59" s="22">
        <f t="shared" si="4"/>
        <v>0.06666666666666667</v>
      </c>
    </row>
    <row r="60" spans="1:5" ht="12.75">
      <c r="A60" s="21">
        <f t="shared" si="2"/>
        <v>0.12500000000000003</v>
      </c>
      <c r="B60" s="21">
        <f t="shared" si="3"/>
        <v>0.37499999999999994</v>
      </c>
      <c r="C60" s="13">
        <f t="shared" si="0"/>
        <v>45536.16254538631</v>
      </c>
      <c r="D60" s="13">
        <f t="shared" si="1"/>
        <v>4768.535790841877</v>
      </c>
      <c r="E60" s="22">
        <f t="shared" si="4"/>
        <v>0.075</v>
      </c>
    </row>
    <row r="61" spans="1:5" ht="12.75">
      <c r="A61" s="21">
        <f t="shared" si="2"/>
        <v>0.1166666666666667</v>
      </c>
      <c r="B61" s="21">
        <f t="shared" si="3"/>
        <v>0.41666666666666663</v>
      </c>
      <c r="C61" s="13">
        <f t="shared" si="0"/>
        <v>52273.65598322408</v>
      </c>
      <c r="D61" s="13">
        <f t="shared" si="1"/>
        <v>5474.084453772563</v>
      </c>
      <c r="E61" s="22">
        <f t="shared" si="4"/>
        <v>0.08333333333333333</v>
      </c>
    </row>
    <row r="62" spans="1:5" ht="12.75">
      <c r="A62" s="21">
        <f t="shared" si="2"/>
        <v>0.10833333333333336</v>
      </c>
      <c r="B62" s="21">
        <f t="shared" si="3"/>
        <v>0.45833333333333326</v>
      </c>
      <c r="C62" s="13">
        <f t="shared" si="0"/>
        <v>60625.06847758531</v>
      </c>
      <c r="D62" s="13">
        <f t="shared" si="1"/>
        <v>6348.642325085339</v>
      </c>
      <c r="E62" s="22">
        <f t="shared" si="4"/>
        <v>0.09166666666666666</v>
      </c>
    </row>
    <row r="63" spans="1:5" ht="12.75">
      <c r="A63" s="21">
        <f t="shared" si="2"/>
        <v>0.10000000000000003</v>
      </c>
      <c r="B63" s="21">
        <f t="shared" si="3"/>
        <v>0.49999999999999994</v>
      </c>
      <c r="C63" s="13">
        <f t="shared" si="0"/>
        <v>71150.2539771661</v>
      </c>
      <c r="D63" s="13">
        <f t="shared" si="1"/>
        <v>7450.837173190432</v>
      </c>
      <c r="E63" s="22">
        <f t="shared" si="4"/>
        <v>0.09999999999999999</v>
      </c>
    </row>
    <row r="64" spans="1:5" ht="12.75">
      <c r="A64" s="21">
        <f aca="true" t="shared" si="5" ref="A64:A75">A63+Iinc</f>
        <v>0.10833333333333336</v>
      </c>
      <c r="B64" s="21">
        <f t="shared" si="3"/>
        <v>0.5416666666666666</v>
      </c>
      <c r="C64" s="13">
        <f t="shared" si="0"/>
        <v>60625.06847758531</v>
      </c>
      <c r="D64" s="13">
        <f t="shared" si="1"/>
        <v>6348.642325085339</v>
      </c>
      <c r="E64" s="22">
        <f t="shared" si="4"/>
        <v>0.10833333333333332</v>
      </c>
    </row>
    <row r="65" spans="1:5" ht="12.75">
      <c r="A65" s="21">
        <f t="shared" si="5"/>
        <v>0.1166666666666667</v>
      </c>
      <c r="B65" s="21">
        <f t="shared" si="3"/>
        <v>0.5833333333333333</v>
      </c>
      <c r="C65" s="13">
        <f t="shared" si="0"/>
        <v>52273.65598322408</v>
      </c>
      <c r="D65" s="13">
        <f t="shared" si="1"/>
        <v>5474.084453772563</v>
      </c>
      <c r="E65" s="22">
        <f t="shared" si="4"/>
        <v>0.11666666666666665</v>
      </c>
    </row>
    <row r="66" spans="1:5" ht="12.75">
      <c r="A66" s="21">
        <f t="shared" si="5"/>
        <v>0.12500000000000003</v>
      </c>
      <c r="B66" s="21">
        <f t="shared" si="3"/>
        <v>0.6249999999999999</v>
      </c>
      <c r="C66" s="13">
        <f t="shared" si="0"/>
        <v>45536.16254538631</v>
      </c>
      <c r="D66" s="13">
        <f t="shared" si="1"/>
        <v>4768.535790841877</v>
      </c>
      <c r="E66" s="22">
        <f t="shared" si="4"/>
        <v>0.12499999999999999</v>
      </c>
    </row>
    <row r="67" spans="1:5" ht="12.75">
      <c r="A67" s="21">
        <f t="shared" si="5"/>
        <v>0.13333333333333336</v>
      </c>
      <c r="B67" s="21">
        <f t="shared" si="3"/>
        <v>0.6666666666666666</v>
      </c>
      <c r="C67" s="13">
        <f t="shared" si="0"/>
        <v>40022.01786215594</v>
      </c>
      <c r="D67" s="13">
        <f t="shared" si="1"/>
        <v>4191.095909919619</v>
      </c>
      <c r="E67" s="22">
        <f t="shared" si="4"/>
        <v>0.13333333333333333</v>
      </c>
    </row>
    <row r="68" spans="1:5" ht="12.75">
      <c r="A68" s="21">
        <f t="shared" si="5"/>
        <v>0.1416666666666667</v>
      </c>
      <c r="B68" s="21">
        <f t="shared" si="3"/>
        <v>0.7083333333333333</v>
      </c>
      <c r="C68" s="13">
        <f t="shared" si="0"/>
        <v>35452.02966336305</v>
      </c>
      <c r="D68" s="13">
        <f t="shared" si="1"/>
        <v>3712.5278648422923</v>
      </c>
      <c r="E68" s="22">
        <f t="shared" si="4"/>
        <v>0.14166666666666666</v>
      </c>
    </row>
    <row r="69" spans="1:5" ht="12.75">
      <c r="A69" s="21">
        <f t="shared" si="5"/>
        <v>0.15000000000000002</v>
      </c>
      <c r="B69" s="21">
        <f t="shared" si="3"/>
        <v>0.7499999999999999</v>
      </c>
      <c r="C69" s="13">
        <f t="shared" si="0"/>
        <v>31622.335100962715</v>
      </c>
      <c r="D69" s="13">
        <f t="shared" si="1"/>
        <v>3311.4831880846373</v>
      </c>
      <c r="E69" s="22">
        <f t="shared" si="4"/>
        <v>0.15</v>
      </c>
    </row>
    <row r="70" spans="1:5" ht="12.75">
      <c r="A70" s="21">
        <f t="shared" si="5"/>
        <v>0.15833333333333335</v>
      </c>
      <c r="B70" s="21">
        <f t="shared" si="3"/>
        <v>0.7916666666666666</v>
      </c>
      <c r="C70" s="13">
        <f t="shared" si="0"/>
        <v>28381.264744354354</v>
      </c>
      <c r="D70" s="13">
        <f t="shared" si="1"/>
        <v>2972.079094015021</v>
      </c>
      <c r="E70" s="22">
        <f t="shared" si="4"/>
        <v>0.15833333333333333</v>
      </c>
    </row>
    <row r="71" spans="1:5" ht="12.75">
      <c r="A71" s="21">
        <f t="shared" si="5"/>
        <v>0.16666666666666669</v>
      </c>
      <c r="B71" s="21">
        <f t="shared" si="3"/>
        <v>0.8333333333333333</v>
      </c>
      <c r="C71" s="13">
        <f t="shared" si="0"/>
        <v>25614.0914317798</v>
      </c>
      <c r="D71" s="13">
        <f t="shared" si="1"/>
        <v>2682.3013823485567</v>
      </c>
      <c r="E71" s="22">
        <f t="shared" si="4"/>
        <v>0.16666666666666666</v>
      </c>
    </row>
    <row r="72" spans="1:5" ht="12.75">
      <c r="A72" s="21">
        <f t="shared" si="5"/>
        <v>0.17500000000000002</v>
      </c>
      <c r="B72" s="21">
        <f t="shared" si="3"/>
        <v>0.8749999999999999</v>
      </c>
      <c r="C72" s="13">
        <f t="shared" si="0"/>
        <v>23232.73599254404</v>
      </c>
      <c r="D72" s="13">
        <f t="shared" si="1"/>
        <v>2432.9264238989176</v>
      </c>
      <c r="E72" s="22">
        <f t="shared" si="4"/>
        <v>0.175</v>
      </c>
    </row>
    <row r="73" spans="1:5" ht="12.75">
      <c r="A73" s="21">
        <f t="shared" si="5"/>
        <v>0.18333333333333335</v>
      </c>
      <c r="B73" s="21">
        <f t="shared" si="3"/>
        <v>0.9166666666666665</v>
      </c>
      <c r="C73" s="13">
        <f t="shared" si="0"/>
        <v>21168.6706047767</v>
      </c>
      <c r="D73" s="13">
        <f t="shared" si="1"/>
        <v>2216.778001940956</v>
      </c>
      <c r="E73" s="22">
        <f t="shared" si="4"/>
        <v>0.18333333333333332</v>
      </c>
    </row>
    <row r="74" spans="1:5" ht="12.75">
      <c r="A74" s="21">
        <f t="shared" si="5"/>
        <v>0.19166666666666668</v>
      </c>
      <c r="B74" s="21">
        <f t="shared" si="3"/>
        <v>0.9583333333333333</v>
      </c>
      <c r="C74" s="13">
        <f t="shared" si="0"/>
        <v>19367.93302970118</v>
      </c>
      <c r="D74" s="13">
        <f t="shared" si="1"/>
        <v>2028.2052040442775</v>
      </c>
      <c r="E74" s="22">
        <f t="shared" si="4"/>
        <v>0.19166666666666665</v>
      </c>
    </row>
    <row r="75" spans="1:5" ht="12.75">
      <c r="A75" s="21">
        <f t="shared" si="5"/>
        <v>0.2</v>
      </c>
      <c r="B75" s="21">
        <f t="shared" si="3"/>
        <v>0.9999999999999999</v>
      </c>
      <c r="C75" s="13">
        <f t="shared" si="0"/>
        <v>17787.56349429153</v>
      </c>
      <c r="D75" s="13">
        <f t="shared" si="1"/>
        <v>1862.7092932976088</v>
      </c>
      <c r="E75" s="22">
        <f t="shared" si="4"/>
        <v>0.19999999999999998</v>
      </c>
    </row>
  </sheetData>
  <mergeCells count="4">
    <mergeCell ref="A3:C3"/>
    <mergeCell ref="A4:C4"/>
    <mergeCell ref="A2:C2"/>
    <mergeCell ref="A1:C1"/>
  </mergeCells>
  <printOptions gridLines="1"/>
  <pageMargins left="0.75" right="0.75" top="1" bottom="1" header="0.5" footer="0.5"/>
  <pageSetup horizontalDpi="600" verticalDpi="600" orientation="portrait" r:id="rId5"/>
  <headerFooter alignWithMargins="0">
    <oddHeader>&amp;C&amp;F</oddHeader>
    <oddFooter>&amp;CPage &amp;P</oddFooter>
  </headerFooter>
  <drawing r:id="rId4"/>
  <legacyDrawing r:id="rId3"/>
  <oleObjects>
    <oleObject progId="Equation.3" shapeId="5899145" r:id="rId1"/>
    <oleObject progId="Equation.DSMT4" shapeId="73701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Mechanical Engineering</cp:lastModifiedBy>
  <dcterms:created xsi:type="dcterms:W3CDTF">2002-03-15T16:33:59Z</dcterms:created>
  <dcterms:modified xsi:type="dcterms:W3CDTF">2007-12-17T22:26:39Z</dcterms:modified>
  <cp:category/>
  <cp:version/>
  <cp:contentType/>
  <cp:contentStatus/>
</cp:coreProperties>
</file>