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130" windowHeight="6435" activeTab="0"/>
  </bookViews>
  <sheets>
    <sheet name="Calculations" sheetId="1" r:id="rId1"/>
    <sheet name="Solid model of 3&quot; wheel" sheetId="2" r:id="rId2"/>
    <sheet name="Sheet3" sheetId="3" r:id="rId3"/>
  </sheets>
  <definedNames>
    <definedName name="acar">'Calculations'!$B$44</definedName>
    <definedName name="Dm">'Calculations'!$C$10</definedName>
    <definedName name="Douts">'Calculations'!$C$31</definedName>
    <definedName name="dpid">'Calculations'!$C$26</definedName>
    <definedName name="Dplanet">'Calculations'!$C$23</definedName>
    <definedName name="Dpod">'Calculations'!$C$25</definedName>
    <definedName name="Dwheel">'Calculations'!$C$39</definedName>
    <definedName name="etamotor">'Calculations'!$B$15</definedName>
    <definedName name="etastage">'Calculations'!$B$28</definedName>
    <definedName name="etat">'Calculations'!$B$36</definedName>
    <definedName name="etatrans">'Calculations'!$B$34</definedName>
    <definedName name="Fext">'Calculations'!$B$45</definedName>
    <definedName name="fk">'Calculations'!$B$48</definedName>
    <definedName name="Fmax">'Calculations'!#REF!</definedName>
    <definedName name="Ftraction">'Calculations'!$B$62</definedName>
    <definedName name="Ftractive">'Calculations'!$B$63</definedName>
    <definedName name="Gammabar">'Calculations'!$B$66</definedName>
    <definedName name="gammax">'Calculations'!$C$16</definedName>
    <definedName name="Jcar">'Calculations'!#REF!</definedName>
    <definedName name="Jm">'Calculations'!$B$14</definedName>
    <definedName name="Jmotor">'Calculations'!$B$13</definedName>
    <definedName name="Jouts">'Calculations'!$B$32</definedName>
    <definedName name="Jplanets">'Calculations'!$B$29</definedName>
    <definedName name="Jt">'Calculations'!$B$35</definedName>
    <definedName name="Jtotal">'Calculations'!$B$55</definedName>
    <definedName name="Jtrans">'Calculations'!$B$33</definedName>
    <definedName name="Jwheel">'Calculations'!$B$41</definedName>
    <definedName name="Mcar">'Calculations'!$B$38</definedName>
    <definedName name="Mouts">'Calculations'!$C$30</definedName>
    <definedName name="Mplanet">'Calculations'!$C$24</definedName>
    <definedName name="Mr">'Calculations'!$C$9</definedName>
    <definedName name="Mtotal">'Calculations'!$B$54</definedName>
    <definedName name="mtrans">'Calculations'!$B$53</definedName>
    <definedName name="mu">'Calculations'!$B$47</definedName>
    <definedName name="mwheel">'Calculations'!$B$42</definedName>
    <definedName name="Nm">'Calculations'!$B$12</definedName>
    <definedName name="nmotor">'Calculations'!#REF!</definedName>
    <definedName name="Nstage">'Calculations'!$B$27</definedName>
    <definedName name="ntrans">'Calculations'!$B$50</definedName>
    <definedName name="Nwd">'Calculations'!$B$46</definedName>
    <definedName name="nwheel">'Calculations'!$B$40</definedName>
    <definedName name="Pbat">'Calculations'!$B$76</definedName>
    <definedName name="PRload">'Calculations'!$B$58</definedName>
    <definedName name="PRmotor">'Calculations'!$B$57</definedName>
    <definedName name="r_t">'Calculations'!$B$52</definedName>
    <definedName name="S">'Calculations'!$B$18</definedName>
    <definedName name="Sbar">'Calculations'!$B$65</definedName>
    <definedName name="Slinear">'Calculations'!#REF!</definedName>
    <definedName name="solver_adj" localSheetId="0" hidden="1">'Calculations'!$B$52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'Calculations'!$B$52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'Calculations'!$B$59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'Calculations'!$B$73</definedName>
    <definedName name="taccel">'Calculations'!$B$70</definedName>
    <definedName name="tohtd">'Calculations'!#REF!</definedName>
    <definedName name="tstop">'Calculations'!$B$74</definedName>
    <definedName name="ttotal">'Calculations'!$B$66</definedName>
    <definedName name="vmax">'Calculations'!$B$68</definedName>
    <definedName name="vmaxeff">'Calculations'!$B$69</definedName>
    <definedName name="vmaxpot">'Calculations'!$B$67</definedName>
    <definedName name="wmax">'Calculations'!$C$17</definedName>
    <definedName name="wmaxeff">'Calculations'!$C$19</definedName>
    <definedName name="wwacc">'Calculations'!$B$43</definedName>
    <definedName name="Xaccel">'Calculations'!$B$71</definedName>
    <definedName name="Xdes">'Calculations'!$B$61</definedName>
  </definedNames>
  <calcPr fullCalcOnLoad="1"/>
</workbook>
</file>

<file path=xl/sharedStrings.xml><?xml version="1.0" encoding="utf-8"?>
<sst xmlns="http://schemas.openxmlformats.org/spreadsheetml/2006/main" count="137" uniqueCount="125">
  <si>
    <t>Number of drive motors, Nm</t>
  </si>
  <si>
    <t>Diameter, Dm (mm, m)</t>
  </si>
  <si>
    <t>Planet carrier assembly mass Mplanet, (grams, kg)</t>
  </si>
  <si>
    <t>Rotor mass, Mr (grams, kg)</t>
  </si>
  <si>
    <t>Output shaft diameter, Douts</t>
  </si>
  <si>
    <t>Planet carrier outer diameter, Dpod (mm, m)</t>
  </si>
  <si>
    <t>Output shaft mass, Mouts (grams, kg)</t>
  </si>
  <si>
    <t>Output shaft rotary inertia, Jouts (kg-m^2)</t>
  </si>
  <si>
    <t>Diamter of wheel, Dwheel (mm, m)</t>
  </si>
  <si>
    <t>Confirm: Number of stages = # required to achieve desired ntrans</t>
  </si>
  <si>
    <t>Optimal transmission ratio, ntrans</t>
  </si>
  <si>
    <t>yes</t>
  </si>
  <si>
    <t>Power rates</t>
  </si>
  <si>
    <t>Load power rate, PRload</t>
  </si>
  <si>
    <t>Car</t>
  </si>
  <si>
    <t>Optimal Transmission ratio by Matched Inertia Doctrine</t>
  </si>
  <si>
    <t>Motors' total power rate, PRmotor</t>
  </si>
  <si>
    <t>2Wd or 4WD, Nwd</t>
  </si>
  <si>
    <t>Max. potential tractive effort (even mass distribution), Ftraction (N)</t>
  </si>
  <si>
    <t>External loads, friction... Fext (N)</t>
  </si>
  <si>
    <t>Can wheels slip?</t>
  </si>
  <si>
    <t>Motor operating efficiency, etamotor</t>
  </si>
  <si>
    <t>Total actual sysetm equivelent inertia, Mtotal (kg)</t>
  </si>
  <si>
    <t>Efficiency per stage, etastage</t>
  </si>
  <si>
    <t>Motor (torque and speed are NOT at absolute max values, but rather at max efficiency)</t>
  </si>
  <si>
    <t>Max motor speed, wmax (rpm, rad/s)</t>
  </si>
  <si>
    <t>Motor speed at maximum efficiency, wmaxeff (rpm, rad/s)</t>
  </si>
  <si>
    <r>
      <t xml:space="preserve">Car speed at max motor </t>
    </r>
    <r>
      <rPr>
        <sz val="10"/>
        <rFont val="Symbol"/>
        <family val="1"/>
      </rPr>
      <t>h</t>
    </r>
    <r>
      <rPr>
        <sz val="10"/>
        <rFont val="Times New Roman"/>
        <family val="1"/>
      </rPr>
      <t>, vmaxeff (m/s)</t>
    </r>
  </si>
  <si>
    <t>Maximum theoretical car speed vmaxpot (m/s)</t>
  </si>
  <si>
    <t>Nm Motors' rotary inertia, Jmotor (kg-m^2, g-mm^2)</t>
  </si>
  <si>
    <t>Battery Requirements</t>
  </si>
  <si>
    <r>
      <t>Planet carrier inner</t>
    </r>
    <r>
      <rPr>
        <sz val="10"/>
        <rFont val="Times New Roman"/>
        <family val="1"/>
      </rPr>
      <t xml:space="preserve"> diameter, Dpid (mm, m)</t>
    </r>
  </si>
  <si>
    <r>
      <t>Planetary total rotary inertia, Jplanets (kg-m^2)</t>
    </r>
  </si>
  <si>
    <t>To estimate inertia of gearmotor and find system optimal transmission ratio</t>
  </si>
  <si>
    <t>Transmisssion efficiency (includes car wheels), etatrans</t>
  </si>
  <si>
    <t>Transmission (Planetary or known transmisssion ratio and inertia)</t>
  </si>
  <si>
    <t>Total Nm planetary transmissions' rotary inertia, Jtrans (kg-m^2)</t>
  </si>
  <si>
    <t>If known, enter transmission inertia (else, enter "0"), Jt (kg-m^2, g-mm^2)</t>
  </si>
  <si>
    <t>If known, enter transmission efficiency, etat (else enter "0")</t>
  </si>
  <si>
    <t>Coefficient of dynamic friction fk</t>
  </si>
  <si>
    <t xml:space="preserve">Coefficient of friction wheel-to-ground, mu (static friction coefficient) </t>
  </si>
  <si>
    <t>Rotational inertia of one wheel, Jwheel (kg*m^2)</t>
  </si>
  <si>
    <t>Triangular Velocity Profile Motion Results</t>
  </si>
  <si>
    <t>Enter number of drive motors</t>
  </si>
  <si>
    <t>Given</t>
  </si>
  <si>
    <t>Enter mass of car in kg</t>
  </si>
  <si>
    <t>Enter number of wheels</t>
  </si>
  <si>
    <t>Enter the external load, or the push force</t>
  </si>
  <si>
    <t>Enter 2 for 2-wheel drive, 4 for 4-wheel drive</t>
  </si>
  <si>
    <t>mu=force required to move the car/weight of car</t>
  </si>
  <si>
    <t>fk=force required to move the car (with transmission detached) in constant speed/weight of car</t>
  </si>
  <si>
    <t>Traction force when the wheels slip</t>
  </si>
  <si>
    <t>The wheels will slip if the static traction force is less than the maximum motor traction force</t>
  </si>
  <si>
    <t>Actual transmission ratio to be used, r_t</t>
  </si>
  <si>
    <t xml:space="preserve">Maximum motor traction force </t>
  </si>
  <si>
    <t>Start-to-stop travel distance, Xdes (m)</t>
  </si>
  <si>
    <r>
      <t xml:space="preserve">Time to accelerate to speed at max motor </t>
    </r>
    <r>
      <rPr>
        <sz val="10"/>
        <rFont val="Symbol"/>
        <family val="1"/>
      </rPr>
      <t xml:space="preserve">h </t>
    </r>
    <r>
      <rPr>
        <sz val="10"/>
        <rFont val="Times New Roman"/>
        <family val="1"/>
      </rPr>
      <t>(theoretical), taccel (seconds)</t>
    </r>
  </si>
  <si>
    <t>Distance travelled during acceleration to vmaxeff, Xaccel (m)</t>
  </si>
  <si>
    <t>Descriptions</t>
  </si>
  <si>
    <t>Enter drive train efficiency if different</t>
  </si>
  <si>
    <t>Enter transmission inertia if different</t>
  </si>
  <si>
    <t xml:space="preserve"> =Jwheel*Nm/rwheel^2</t>
  </si>
  <si>
    <t xml:space="preserve"> =Nm*0.5*Mr*(Dm/2)^2</t>
  </si>
  <si>
    <t xml:space="preserve"> =0.5*Nstage*Mplanet*((Dpod/2)^2+(dpid/2)^2)</t>
  </si>
  <si>
    <t xml:space="preserve"> =0.5*Mouts*(Douts/2)^2</t>
  </si>
  <si>
    <t xml:space="preserve"> =Nm*(Jplanets+Jouts)</t>
  </si>
  <si>
    <t xml:space="preserve"> =etastage^(Nstage+1): drive train efficiency</t>
  </si>
  <si>
    <t xml:space="preserve"> = r_t^2*(Jtrans+Jmotor)/rwheel^2</t>
  </si>
  <si>
    <t xml:space="preserve"> =mtrans+Mcar+mwheels</t>
  </si>
  <si>
    <t>Enter desired travel distance</t>
  </si>
  <si>
    <t xml:space="preserve"> =(Dwheel/2)*(wmax/r_t)</t>
  </si>
  <si>
    <t xml:space="preserve"> =(Dwheel/2)*(wmaxeff/r_t)</t>
  </si>
  <si>
    <t>By Alex Slocum, Jian Li, and Xue'en Yang</t>
  </si>
  <si>
    <t>Max car acceleration, acar (m/s^2, g)</t>
  </si>
  <si>
    <t>Max wheel angular acceleration, wwacc (rad/s^2)</t>
  </si>
  <si>
    <t>Enter motor inertia in g-mm^2 if different than above</t>
  </si>
  <si>
    <t>See Eq (1)</t>
  </si>
  <si>
    <t>See Eq(2)</t>
  </si>
  <si>
    <t>See Eq(12)</t>
  </si>
  <si>
    <t>See Eq(8)</t>
  </si>
  <si>
    <t>See Eq(7)</t>
  </si>
  <si>
    <t>See Eq(11)</t>
  </si>
  <si>
    <t>See Eq(14)</t>
  </si>
  <si>
    <t>See Eq(15)</t>
  </si>
  <si>
    <t>See Eq(18)</t>
  </si>
  <si>
    <t>If the car accelerates, decelerates and then stops at a distance Xdes, estimate using Eq(19)</t>
  </si>
  <si>
    <t xml:space="preserve"> =Nm*(gammax^2/(Jtrans+Jmotor)/Nm))</t>
  </si>
  <si>
    <t xml:space="preserve"> =(Mcar*acar+Fext)*acar</t>
  </si>
  <si>
    <t xml:space="preserve"> =PRmotor/(4*PRload/IF(etat&gt;0, etat,etatrans))</t>
  </si>
  <si>
    <t xml:space="preserve"> =vmaxeff*MIN(Ftractive, Ftraction)/(etamotor*IF(etat&gt;0, etat,etatrans))</t>
  </si>
  <si>
    <t xml:space="preserve"> =Pbat*t</t>
  </si>
  <si>
    <t>List of Equations Used</t>
  </si>
  <si>
    <t xml:space="preserve"> =wwacc*rwheel</t>
  </si>
  <si>
    <t>Gearmotor_move.xls</t>
  </si>
  <si>
    <t>Mength, Lm (mm, m)</t>
  </si>
  <si>
    <t>Equivalent linear inertia of wheels, mwheel (kg)</t>
  </si>
  <si>
    <t>Number of wheels, Nwheel</t>
  </si>
  <si>
    <t>System goodness (should be close to 1, see page 7-17): PRmotor/(4PRload/etatrans)</t>
  </si>
  <si>
    <t>Time to travel the desired travel distance (full speed at end of move), t</t>
  </si>
  <si>
    <t>Time to travel the desired travel distance (stop at end of move: triangular velocity profile), tstop</t>
  </si>
  <si>
    <t xml:space="preserve"> =Pbat*tstop</t>
  </si>
  <si>
    <r>
      <t xml:space="preserve">Enters numbers in </t>
    </r>
    <r>
      <rPr>
        <b/>
        <sz val="11"/>
        <rFont val="Times New Roman"/>
        <family val="1"/>
      </rPr>
      <t>BLACK</t>
    </r>
    <r>
      <rPr>
        <sz val="11"/>
        <rFont val="Times New Roman"/>
        <family val="1"/>
      </rPr>
      <t xml:space="preserve"> or </t>
    </r>
    <r>
      <rPr>
        <b/>
        <sz val="11"/>
        <color indexed="12"/>
        <rFont val="Times New Roman"/>
        <family val="1"/>
      </rPr>
      <t xml:space="preserve">BLUE </t>
    </r>
    <r>
      <rPr>
        <sz val="11"/>
        <rFont val="Times New Roman"/>
        <family val="1"/>
      </rPr>
      <t>highlighted in yellow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Results in </t>
    </r>
    <r>
      <rPr>
        <b/>
        <sz val="11"/>
        <color indexed="10"/>
        <rFont val="Times New Roman"/>
        <family val="1"/>
      </rPr>
      <t>RED</t>
    </r>
  </si>
  <si>
    <t>user defined</t>
  </si>
  <si>
    <t>user defined (motor mechanical ower/motor efficiency = power drawn from voltage source)</t>
  </si>
  <si>
    <t>Motor mechanical power at maximum efficiency (W)</t>
  </si>
  <si>
    <t>Total inertia, Jtotal (kg-m^2)</t>
  </si>
  <si>
    <t>Net torque available for accelerating the vehicle, Gammabar (N-m)</t>
  </si>
  <si>
    <t>Max. motor tractive effort at zero velocity (even mass distribution), Ftractive (N)</t>
  </si>
  <si>
    <t>Max motor torque at zero velocity, gammax (mN-m, N-m)</t>
  </si>
  <si>
    <t>Estimated maximum power draw from voltage source (e.g., battery) Pbat (W)</t>
  </si>
  <si>
    <t>Estimated maximum energy draw from voltage source (e.g., battery) Ebat (J=N-m) (full speed at end of move)</t>
  </si>
  <si>
    <t>Maximum actual possible car speed, vmax (m/s)</t>
  </si>
  <si>
    <t>Steepness S A64</t>
  </si>
  <si>
    <t>Net steepness, Sbar (N-m-s/rad)</t>
  </si>
  <si>
    <t>Taylor series prediction of time to accelerate &amp; deccelerate to Xdes (use MatLab script GRopt for "exact" prediction)</t>
  </si>
  <si>
    <t>Tamiya Planetary system: Nstage=2 for transmission ratios 1:16, 1:20; Nstage=3 for 1:80 and 1:100; Nstage=4 for 1:400</t>
  </si>
  <si>
    <t>Actual equivelent linear inertia of motors and transmissions mtrans (kg)</t>
  </si>
  <si>
    <t>If known, enter motors' total inertia (else, enter "0"), Jm (kg-m^2, g-mm^2)</t>
  </si>
  <si>
    <t>Single motor torque at maximum efficiency (mN-m)</t>
  </si>
  <si>
    <t>Electrical power required from voltage source to operate one motor at maximum efficiency (W)</t>
  </si>
  <si>
    <t>From solid model of wheel (see worksheet for 3" wheel)</t>
  </si>
  <si>
    <t>Enter transmission ratio to be used: Try different ones and study the effect!  The relation is not linear because of motor torque-spee curve!</t>
  </si>
  <si>
    <t>Mass of car, Mcar (not including wheels) (kg)</t>
  </si>
  <si>
    <t>Number of stages, Nstage (Tamiya planetary stage)</t>
  </si>
  <si>
    <t>Last modified 03/21/06, by Alex Slocum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</si>
</sst>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E+00"/>
    <numFmt numFmtId="169" formatCode="0E+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E+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</numFmts>
  <fonts count="1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9" fontId="1" fillId="0" borderId="1" xfId="2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/>
    </xf>
    <xf numFmtId="9" fontId="3" fillId="0" borderId="1" xfId="21" applyFont="1" applyBorder="1" applyAlignment="1">
      <alignment/>
    </xf>
    <xf numFmtId="170" fontId="2" fillId="0" borderId="0" xfId="0" applyNumberFormat="1" applyFont="1" applyAlignment="1">
      <alignment/>
    </xf>
    <xf numFmtId="11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11" fontId="3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9" fontId="8" fillId="2" borderId="1" xfId="21" applyFont="1" applyFill="1" applyBorder="1" applyAlignment="1">
      <alignment/>
    </xf>
    <xf numFmtId="0" fontId="2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9" fillId="0" borderId="5" xfId="0" applyFont="1" applyBorder="1" applyAlignment="1">
      <alignment/>
    </xf>
    <xf numFmtId="0" fontId="10" fillId="2" borderId="4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0" fontId="2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6" xfId="0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2" fillId="0" borderId="9" xfId="0" applyFont="1" applyFill="1" applyBorder="1" applyAlignment="1">
      <alignment horizontal="left" indent="2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2" fontId="3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174" fontId="3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174" fontId="3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8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3" fillId="3" borderId="3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81</xdr:row>
      <xdr:rowOff>19050</xdr:rowOff>
    </xdr:from>
    <xdr:to>
      <xdr:col>3</xdr:col>
      <xdr:colOff>1057275</xdr:colOff>
      <xdr:row>146</xdr:row>
      <xdr:rowOff>66675</xdr:rowOff>
    </xdr:to>
    <xdr:pic>
      <xdr:nvPicPr>
        <xdr:cNvPr id="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516100"/>
          <a:ext cx="6972300" cy="1057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147</xdr:row>
      <xdr:rowOff>28575</xdr:rowOff>
    </xdr:from>
    <xdr:to>
      <xdr:col>3</xdr:col>
      <xdr:colOff>1047750</xdr:colOff>
      <xdr:row>172</xdr:row>
      <xdr:rowOff>161925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5212675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0</xdr:rowOff>
    </xdr:from>
    <xdr:to>
      <xdr:col>14</xdr:col>
      <xdr:colOff>66675</xdr:colOff>
      <xdr:row>44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74" r="11816" b="11067"/>
        <a:stretch>
          <a:fillRect/>
        </a:stretch>
      </xdr:blipFill>
      <xdr:spPr>
        <a:xfrm>
          <a:off x="104775" y="647700"/>
          <a:ext cx="8496300" cy="6505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84.28125" style="1" customWidth="1"/>
    <col min="2" max="2" width="9.57421875" style="1" customWidth="1"/>
    <col min="3" max="3" width="10.28125" style="1" customWidth="1"/>
    <col min="4" max="4" width="54.140625" style="1" customWidth="1"/>
    <col min="5" max="5" width="10.7109375" style="1" customWidth="1"/>
    <col min="6" max="6" width="9.140625" style="1" customWidth="1"/>
    <col min="7" max="7" width="10.7109375" style="1" bestFit="1" customWidth="1"/>
    <col min="8" max="16384" width="9.140625" style="1" customWidth="1"/>
  </cols>
  <sheetData>
    <row r="1" spans="1:4" ht="15" thickTop="1">
      <c r="A1" s="93" t="s">
        <v>93</v>
      </c>
      <c r="B1" s="94"/>
      <c r="C1" s="94"/>
      <c r="D1" s="95"/>
    </row>
    <row r="2" spans="1:4" ht="15">
      <c r="A2" s="96" t="s">
        <v>33</v>
      </c>
      <c r="B2" s="97"/>
      <c r="C2" s="97"/>
      <c r="D2" s="98"/>
    </row>
    <row r="3" spans="1:4" ht="15">
      <c r="A3" s="99" t="s">
        <v>72</v>
      </c>
      <c r="B3" s="100"/>
      <c r="C3" s="100"/>
      <c r="D3" s="101"/>
    </row>
    <row r="4" spans="1:4" ht="15">
      <c r="A4" s="99" t="s">
        <v>124</v>
      </c>
      <c r="B4" s="100"/>
      <c r="C4" s="100"/>
      <c r="D4" s="101"/>
    </row>
    <row r="5" spans="1:4" ht="14.25">
      <c r="A5" s="90"/>
      <c r="B5" s="91"/>
      <c r="C5" s="91"/>
      <c r="D5" s="92"/>
    </row>
    <row r="6" spans="1:4" ht="15.75" thickBot="1">
      <c r="A6" s="77" t="s">
        <v>101</v>
      </c>
      <c r="B6" s="78"/>
      <c r="C6" s="78"/>
      <c r="D6" s="79"/>
    </row>
    <row r="7" spans="1:4" ht="14.25" thickBot="1" thickTop="1">
      <c r="A7" s="72"/>
      <c r="B7" s="72"/>
      <c r="C7" s="72"/>
      <c r="D7" s="72"/>
    </row>
    <row r="8" spans="1:4" ht="12.75">
      <c r="A8" s="88" t="s">
        <v>24</v>
      </c>
      <c r="B8" s="89"/>
      <c r="C8" s="89"/>
      <c r="D8" s="29" t="s">
        <v>58</v>
      </c>
    </row>
    <row r="9" spans="1:4" ht="12.75">
      <c r="A9" s="30" t="s">
        <v>3</v>
      </c>
      <c r="B9" s="3">
        <v>10</v>
      </c>
      <c r="C9" s="4">
        <f>B9/1000</f>
        <v>0.01</v>
      </c>
      <c r="D9" s="31" t="s">
        <v>102</v>
      </c>
    </row>
    <row r="10" spans="1:4" ht="12.75">
      <c r="A10" s="30" t="s">
        <v>1</v>
      </c>
      <c r="B10" s="3">
        <v>15</v>
      </c>
      <c r="C10" s="4">
        <f>B10/1000</f>
        <v>0.015</v>
      </c>
      <c r="D10" s="31" t="s">
        <v>102</v>
      </c>
    </row>
    <row r="11" spans="1:4" ht="12.75">
      <c r="A11" s="30" t="s">
        <v>94</v>
      </c>
      <c r="B11" s="3">
        <v>12</v>
      </c>
      <c r="C11" s="4">
        <f>B11/1000</f>
        <v>0.012</v>
      </c>
      <c r="D11" s="31" t="s">
        <v>102</v>
      </c>
    </row>
    <row r="12" spans="1:4" ht="12.75">
      <c r="A12" s="32" t="s">
        <v>0</v>
      </c>
      <c r="B12" s="21">
        <v>4</v>
      </c>
      <c r="C12" s="22"/>
      <c r="D12" s="38" t="s">
        <v>43</v>
      </c>
    </row>
    <row r="13" spans="1:4" ht="12.75">
      <c r="A13" s="30" t="s">
        <v>29</v>
      </c>
      <c r="B13" s="6">
        <f>Nm*0.5*Mr*(Dm/2)^2</f>
        <v>1.125E-06</v>
      </c>
      <c r="C13" s="8">
        <f>Jmotor*1000*1000000</f>
        <v>1125.0000000000002</v>
      </c>
      <c r="D13" s="33" t="s">
        <v>62</v>
      </c>
    </row>
    <row r="14" spans="1:4" ht="12.75">
      <c r="A14" s="34" t="s">
        <v>117</v>
      </c>
      <c r="B14" s="23">
        <f>C14/1000000000</f>
        <v>0</v>
      </c>
      <c r="C14" s="24">
        <v>0</v>
      </c>
      <c r="D14" s="38" t="s">
        <v>75</v>
      </c>
    </row>
    <row r="15" spans="1:4" ht="25.5">
      <c r="A15" s="30" t="s">
        <v>21</v>
      </c>
      <c r="B15" s="13">
        <v>0.5</v>
      </c>
      <c r="C15" s="5"/>
      <c r="D15" s="61" t="s">
        <v>103</v>
      </c>
    </row>
    <row r="16" spans="1:4" ht="12.75">
      <c r="A16" s="30" t="s">
        <v>108</v>
      </c>
      <c r="B16" s="3">
        <v>8.4</v>
      </c>
      <c r="C16" s="7">
        <f>B16/1000</f>
        <v>0.008400000000000001</v>
      </c>
      <c r="D16" s="31" t="s">
        <v>102</v>
      </c>
    </row>
    <row r="17" spans="1:4" ht="12.75">
      <c r="A17" s="30" t="s">
        <v>25</v>
      </c>
      <c r="B17" s="3">
        <v>38600</v>
      </c>
      <c r="C17" s="8">
        <f>B17*2*PI()/60</f>
        <v>4042.1825476188674</v>
      </c>
      <c r="D17" s="31" t="s">
        <v>102</v>
      </c>
    </row>
    <row r="18" spans="1:4" ht="12.75">
      <c r="A18" s="30" t="s">
        <v>112</v>
      </c>
      <c r="B18" s="7">
        <f>-gammax/wmax</f>
        <v>-2.078085267313867E-06</v>
      </c>
      <c r="C18" s="8"/>
      <c r="D18" s="33" t="s">
        <v>76</v>
      </c>
    </row>
    <row r="19" spans="1:4" ht="12.75">
      <c r="A19" s="30" t="s">
        <v>26</v>
      </c>
      <c r="B19" s="3">
        <v>11500</v>
      </c>
      <c r="C19" s="8">
        <f>B19*2*PI()/60</f>
        <v>1204.2771838760875</v>
      </c>
      <c r="D19" s="31" t="s">
        <v>102</v>
      </c>
    </row>
    <row r="20" spans="1:4" ht="12.75">
      <c r="A20" s="30" t="s">
        <v>118</v>
      </c>
      <c r="B20" s="10">
        <f>1000*(gammax+S*wmaxeff)</f>
        <v>5.897409326424871</v>
      </c>
      <c r="C20" s="8"/>
      <c r="D20" s="31"/>
    </row>
    <row r="21" spans="1:4" ht="12.75">
      <c r="A21" s="30" t="s">
        <v>104</v>
      </c>
      <c r="B21" s="10">
        <f>B20/1000*wmaxeff</f>
        <v>7.102115495791518</v>
      </c>
      <c r="C21" s="8"/>
      <c r="D21" s="31"/>
    </row>
    <row r="22" spans="1:4" ht="12.75">
      <c r="A22" s="59" t="s">
        <v>119</v>
      </c>
      <c r="B22" s="10">
        <f>B21/etamotor</f>
        <v>14.204230991583035</v>
      </c>
      <c r="C22" s="2"/>
      <c r="D22" s="2"/>
    </row>
    <row r="23" spans="1:4" ht="12.75">
      <c r="A23" s="80" t="s">
        <v>35</v>
      </c>
      <c r="B23" s="81"/>
      <c r="C23" s="81"/>
      <c r="D23" s="31"/>
    </row>
    <row r="24" spans="1:4" ht="12.75">
      <c r="A24" s="30" t="s">
        <v>2</v>
      </c>
      <c r="B24" s="3">
        <v>2.1</v>
      </c>
      <c r="C24" s="4">
        <f>B24/1000</f>
        <v>0.0021000000000000003</v>
      </c>
      <c r="D24" s="31" t="s">
        <v>102</v>
      </c>
    </row>
    <row r="25" spans="1:4" ht="12.75">
      <c r="A25" s="30" t="s">
        <v>5</v>
      </c>
      <c r="B25" s="3">
        <v>20</v>
      </c>
      <c r="C25" s="4">
        <f>B25/1000</f>
        <v>0.02</v>
      </c>
      <c r="D25" s="31" t="s">
        <v>102</v>
      </c>
    </row>
    <row r="26" spans="1:8" ht="12.75">
      <c r="A26" s="30" t="s">
        <v>31</v>
      </c>
      <c r="B26" s="3">
        <v>10</v>
      </c>
      <c r="C26" s="4">
        <f>B26/1000</f>
        <v>0.01</v>
      </c>
      <c r="D26" s="31" t="s">
        <v>102</v>
      </c>
      <c r="H26"/>
    </row>
    <row r="27" spans="1:4" ht="25.5">
      <c r="A27" s="32" t="s">
        <v>123</v>
      </c>
      <c r="B27" s="21">
        <v>3</v>
      </c>
      <c r="C27" s="20"/>
      <c r="D27" s="60" t="s">
        <v>115</v>
      </c>
    </row>
    <row r="28" spans="1:4" ht="12.75">
      <c r="A28" s="30" t="s">
        <v>23</v>
      </c>
      <c r="B28" s="9">
        <v>0.95</v>
      </c>
      <c r="C28" s="5"/>
      <c r="D28" s="31" t="s">
        <v>44</v>
      </c>
    </row>
    <row r="29" spans="1:6" ht="12.75">
      <c r="A29" s="35" t="s">
        <v>32</v>
      </c>
      <c r="B29" s="6">
        <f>0.5*Nstage*Mplanet*((Dpod/2)^2+(dpid/2)^2)</f>
        <v>3.9375000000000004E-07</v>
      </c>
      <c r="C29" s="5"/>
      <c r="D29" s="33" t="s">
        <v>63</v>
      </c>
      <c r="F29"/>
    </row>
    <row r="30" spans="1:4" ht="12.75">
      <c r="A30" s="30" t="s">
        <v>6</v>
      </c>
      <c r="B30" s="3">
        <v>4</v>
      </c>
      <c r="C30" s="4">
        <f>B30/1000</f>
        <v>0.004</v>
      </c>
      <c r="D30" s="31" t="s">
        <v>102</v>
      </c>
    </row>
    <row r="31" spans="1:4" ht="12.75">
      <c r="A31" s="30" t="s">
        <v>4</v>
      </c>
      <c r="B31" s="3">
        <v>4</v>
      </c>
      <c r="C31" s="4">
        <f>B31/1000</f>
        <v>0.004</v>
      </c>
      <c r="D31" s="31" t="s">
        <v>102</v>
      </c>
    </row>
    <row r="32" spans="1:4" ht="12.75">
      <c r="A32" s="30" t="s">
        <v>7</v>
      </c>
      <c r="B32" s="7">
        <f>0.5*Mouts*(Douts/2)^2</f>
        <v>8E-09</v>
      </c>
      <c r="C32" s="5"/>
      <c r="D32" s="33" t="s">
        <v>64</v>
      </c>
    </row>
    <row r="33" spans="1:4" ht="12.75">
      <c r="A33" s="30" t="s">
        <v>36</v>
      </c>
      <c r="B33" s="6">
        <f>Nm*(Jplanets+Jouts)</f>
        <v>1.6070000000000002E-06</v>
      </c>
      <c r="C33" s="5"/>
      <c r="D33" s="33" t="s">
        <v>65</v>
      </c>
    </row>
    <row r="34" spans="1:4" ht="12.75">
      <c r="A34" s="30" t="s">
        <v>34</v>
      </c>
      <c r="B34" s="13">
        <f>etastage^(Nstage+1)</f>
        <v>0.81450625</v>
      </c>
      <c r="C34" s="2"/>
      <c r="D34" s="33" t="s">
        <v>66</v>
      </c>
    </row>
    <row r="35" spans="1:4" ht="12.75">
      <c r="A35" s="34" t="s">
        <v>37</v>
      </c>
      <c r="B35" s="23">
        <f>C35/1000000000</f>
        <v>0</v>
      </c>
      <c r="C35" s="21">
        <v>0</v>
      </c>
      <c r="D35" s="38" t="s">
        <v>60</v>
      </c>
    </row>
    <row r="36" spans="1:4" ht="12.75">
      <c r="A36" s="34" t="s">
        <v>38</v>
      </c>
      <c r="B36" s="25">
        <v>0</v>
      </c>
      <c r="C36" s="26"/>
      <c r="D36" s="38" t="s">
        <v>59</v>
      </c>
    </row>
    <row r="37" spans="1:4" ht="12.75">
      <c r="A37" s="80" t="s">
        <v>14</v>
      </c>
      <c r="B37" s="81"/>
      <c r="C37" s="81"/>
      <c r="D37" s="31"/>
    </row>
    <row r="38" spans="1:4" ht="12.75">
      <c r="A38" s="32" t="s">
        <v>122</v>
      </c>
      <c r="B38" s="21">
        <v>2.5</v>
      </c>
      <c r="C38" s="20"/>
      <c r="D38" s="38" t="s">
        <v>45</v>
      </c>
    </row>
    <row r="39" spans="1:4" ht="12.75">
      <c r="A39" s="30" t="s">
        <v>8</v>
      </c>
      <c r="B39" s="3">
        <v>75</v>
      </c>
      <c r="C39" s="4">
        <f>B39/1000</f>
        <v>0.075</v>
      </c>
      <c r="D39" s="31" t="s">
        <v>44</v>
      </c>
    </row>
    <row r="40" spans="1:4" ht="12.75">
      <c r="A40" s="32" t="s">
        <v>96</v>
      </c>
      <c r="B40" s="21">
        <v>4</v>
      </c>
      <c r="C40" s="27"/>
      <c r="D40" s="38" t="s">
        <v>46</v>
      </c>
    </row>
    <row r="41" spans="1:4" ht="12.75">
      <c r="A41" s="30" t="s">
        <v>41</v>
      </c>
      <c r="B41" s="15">
        <f>36898/1000000000</f>
        <v>3.6898E-05</v>
      </c>
      <c r="C41" s="4"/>
      <c r="D41" s="31" t="s">
        <v>120</v>
      </c>
    </row>
    <row r="42" spans="1:4" ht="12.75">
      <c r="A42" s="30" t="s">
        <v>95</v>
      </c>
      <c r="B42" s="6">
        <f>Jwheel*nwheel/(Dwheel/2)^2</f>
        <v>0.10495431111111111</v>
      </c>
      <c r="C42" s="4"/>
      <c r="D42" s="33" t="s">
        <v>61</v>
      </c>
    </row>
    <row r="43" spans="1:4" ht="12.75">
      <c r="A43" s="30" t="s">
        <v>74</v>
      </c>
      <c r="B43" s="10">
        <f>Gammabar/Jtotal</f>
        <v>129.8472623682726</v>
      </c>
      <c r="C43" s="10"/>
      <c r="D43" s="33" t="s">
        <v>78</v>
      </c>
    </row>
    <row r="44" spans="1:4" ht="12.75">
      <c r="A44" s="30" t="s">
        <v>73</v>
      </c>
      <c r="B44" s="10">
        <f>wwacc*Dwheel/2</f>
        <v>4.869272338810222</v>
      </c>
      <c r="C44" s="10">
        <f>acar/9.8</f>
        <v>0.49686452436838996</v>
      </c>
      <c r="D44" s="33" t="s">
        <v>92</v>
      </c>
    </row>
    <row r="45" spans="1:4" ht="12.75">
      <c r="A45" s="32" t="s">
        <v>19</v>
      </c>
      <c r="B45" s="21">
        <v>0</v>
      </c>
      <c r="C45" s="26"/>
      <c r="D45" s="38" t="s">
        <v>47</v>
      </c>
    </row>
    <row r="46" spans="1:4" ht="12.75">
      <c r="A46" s="32" t="s">
        <v>17</v>
      </c>
      <c r="B46" s="21">
        <v>4</v>
      </c>
      <c r="C46" s="26"/>
      <c r="D46" s="38" t="s">
        <v>48</v>
      </c>
    </row>
    <row r="47" spans="1:7" ht="12.75">
      <c r="A47" s="32" t="s">
        <v>40</v>
      </c>
      <c r="B47" s="21">
        <v>0.8</v>
      </c>
      <c r="C47" s="26"/>
      <c r="D47" s="38" t="s">
        <v>49</v>
      </c>
      <c r="G47"/>
    </row>
    <row r="48" spans="1:7" ht="25.5">
      <c r="A48" s="32" t="s">
        <v>39</v>
      </c>
      <c r="B48" s="21">
        <v>0.0401</v>
      </c>
      <c r="C48" s="26"/>
      <c r="D48" s="60" t="s">
        <v>50</v>
      </c>
      <c r="G48"/>
    </row>
    <row r="49" spans="1:7" ht="12.75">
      <c r="A49" s="80" t="s">
        <v>15</v>
      </c>
      <c r="B49" s="81"/>
      <c r="C49" s="81"/>
      <c r="D49" s="31"/>
      <c r="G49"/>
    </row>
    <row r="50" spans="1:4" ht="12.75">
      <c r="A50" s="30" t="s">
        <v>10</v>
      </c>
      <c r="B50" s="8">
        <f>(Dwheel/2)/SQRT((IF(Jm&gt;0,Jm,Jmotor)+IF(Jt&gt;0,Jt,Jtrans))/Mcar)</f>
        <v>35.87244055281472</v>
      </c>
      <c r="C50" s="2"/>
      <c r="D50" s="31"/>
    </row>
    <row r="51" spans="1:4" ht="12.75">
      <c r="A51" s="30" t="s">
        <v>9</v>
      </c>
      <c r="B51" s="47" t="s">
        <v>11</v>
      </c>
      <c r="C51" s="2"/>
      <c r="D51" s="31"/>
    </row>
    <row r="52" spans="1:4" ht="27.75" customHeight="1">
      <c r="A52" s="32" t="s">
        <v>53</v>
      </c>
      <c r="B52" s="21">
        <v>32</v>
      </c>
      <c r="C52" s="26"/>
      <c r="D52" s="60" t="s">
        <v>121</v>
      </c>
    </row>
    <row r="53" spans="1:4" ht="12.75">
      <c r="A53" s="30" t="s">
        <v>116</v>
      </c>
      <c r="B53" s="12">
        <f>r_t^2*(IF(Jm&gt;0,Jm,Jmotor)+IF(Jt&gt;0,Jt,Jtrans))*4/Dwheel^2</f>
        <v>1.989381688888889</v>
      </c>
      <c r="C53" s="2"/>
      <c r="D53" s="33" t="s">
        <v>67</v>
      </c>
    </row>
    <row r="54" spans="1:4" ht="12.75">
      <c r="A54" s="30" t="s">
        <v>22</v>
      </c>
      <c r="B54" s="12">
        <f>mtrans+Mcar+mwheel</f>
        <v>4.594336</v>
      </c>
      <c r="C54" s="2"/>
      <c r="D54" s="33" t="s">
        <v>68</v>
      </c>
    </row>
    <row r="55" spans="1:4" ht="12.75">
      <c r="A55" s="30" t="s">
        <v>105</v>
      </c>
      <c r="B55" s="6">
        <f>Mtotal*(Dwheel/2)^2</f>
        <v>0.006460785</v>
      </c>
      <c r="C55" s="16"/>
      <c r="D55" s="33" t="s">
        <v>77</v>
      </c>
    </row>
    <row r="56" spans="1:4" ht="12.75">
      <c r="A56" s="85" t="s">
        <v>12</v>
      </c>
      <c r="B56" s="86"/>
      <c r="C56" s="87"/>
      <c r="D56" s="31"/>
    </row>
    <row r="57" spans="1:4" ht="12.75">
      <c r="A57" s="30" t="s">
        <v>16</v>
      </c>
      <c r="B57" s="10">
        <f>Nm*(gammax^2/((IF(Jm&gt;0,Jm,Jmotor)+IF(Jt&gt;0,Jt,Jtrans))/Nm))</f>
        <v>413.2357247437775</v>
      </c>
      <c r="C57" s="3"/>
      <c r="D57" s="33" t="s">
        <v>86</v>
      </c>
    </row>
    <row r="58" spans="1:6" ht="12.75">
      <c r="A58" s="30" t="s">
        <v>13</v>
      </c>
      <c r="B58" s="10">
        <f>(Mcar*acar+Fext)*acar</f>
        <v>59.27453277375593</v>
      </c>
      <c r="C58" s="3"/>
      <c r="D58" s="33" t="s">
        <v>87</v>
      </c>
      <c r="F58"/>
    </row>
    <row r="59" spans="1:4" ht="12.75">
      <c r="A59" s="30" t="s">
        <v>97</v>
      </c>
      <c r="B59" s="10">
        <f>PRmotor/(4*PRload/IF(etat&gt;0,etat,etatrans))</f>
        <v>1.419593984029302</v>
      </c>
      <c r="C59" s="3"/>
      <c r="D59" s="33" t="s">
        <v>88</v>
      </c>
    </row>
    <row r="60" spans="1:4" ht="12.75">
      <c r="A60" s="80" t="s">
        <v>42</v>
      </c>
      <c r="B60" s="81"/>
      <c r="C60" s="81"/>
      <c r="D60" s="31"/>
    </row>
    <row r="61" spans="1:5" ht="12.75">
      <c r="A61" s="32" t="s">
        <v>55</v>
      </c>
      <c r="B61" s="21">
        <v>0.5</v>
      </c>
      <c r="C61" s="26"/>
      <c r="D61" s="38" t="s">
        <v>69</v>
      </c>
      <c r="E61"/>
    </row>
    <row r="62" spans="1:4" ht="12.75">
      <c r="A62" s="30" t="s">
        <v>18</v>
      </c>
      <c r="B62" s="10">
        <f>Mcar*9.8*mu*(Nwd/4)</f>
        <v>19.6</v>
      </c>
      <c r="C62" s="2"/>
      <c r="D62" s="33" t="s">
        <v>51</v>
      </c>
    </row>
    <row r="63" spans="1:4" ht="12.75">
      <c r="A63" s="30" t="s">
        <v>107</v>
      </c>
      <c r="B63" s="10">
        <f>Nm*gammax*r_t*IF(etat&gt;0,etat,etatrans)/(Dwheel/2)</f>
        <v>23.353523200000005</v>
      </c>
      <c r="C63" s="2"/>
      <c r="D63" s="33" t="s">
        <v>54</v>
      </c>
    </row>
    <row r="64" spans="1:4" ht="25.5">
      <c r="A64" s="30" t="s">
        <v>20</v>
      </c>
      <c r="B64" s="11" t="str">
        <f>IF(Ftractive&gt;Ftraction,"yes","no")</f>
        <v>yes</v>
      </c>
      <c r="C64" s="2"/>
      <c r="D64" s="62" t="s">
        <v>52</v>
      </c>
    </row>
    <row r="65" spans="1:7" ht="12.75">
      <c r="A65" s="30" t="s">
        <v>113</v>
      </c>
      <c r="B65" s="6">
        <f>S*Nm*r_t^2*(IF(etat&gt;0,etat,etatrans))</f>
        <v>-0.0069329446431132275</v>
      </c>
      <c r="C65" s="2"/>
      <c r="D65" s="33" t="s">
        <v>79</v>
      </c>
      <c r="G65"/>
    </row>
    <row r="66" spans="1:4" ht="12.75">
      <c r="A66" s="30" t="s">
        <v>106</v>
      </c>
      <c r="B66" s="10">
        <f>Nm*gammax*r_t*IF(etat&gt;0,etat,etatrans)-fk*Mcar*9.8*Dwheel/2-Fext*Dwheel/2</f>
        <v>0.8389152450000001</v>
      </c>
      <c r="C66" s="2"/>
      <c r="D66" s="33" t="s">
        <v>80</v>
      </c>
    </row>
    <row r="67" spans="1:4" s="19" customFormat="1" ht="12.75">
      <c r="A67" s="36" t="s">
        <v>28</v>
      </c>
      <c r="B67" s="17">
        <f>(Dwheel/2)*(wmax/r_t)</f>
        <v>4.73693267299086</v>
      </c>
      <c r="C67" s="18"/>
      <c r="D67" s="37" t="s">
        <v>70</v>
      </c>
    </row>
    <row r="68" spans="1:4" s="19" customFormat="1" ht="12.75">
      <c r="A68" s="36" t="s">
        <v>111</v>
      </c>
      <c r="B68" s="17">
        <f>-Gammabar/Sbar*Dwheel/2</f>
        <v>4.537656552436173</v>
      </c>
      <c r="C68" s="18"/>
      <c r="D68" s="37" t="s">
        <v>81</v>
      </c>
    </row>
    <row r="69" spans="1:4" ht="12.75">
      <c r="A69" s="30" t="s">
        <v>27</v>
      </c>
      <c r="B69" s="10">
        <f>(Dwheel/2)*(wmaxeff/r_t)</f>
        <v>1.41126232485479</v>
      </c>
      <c r="C69" s="2"/>
      <c r="D69" s="33" t="s">
        <v>71</v>
      </c>
    </row>
    <row r="70" spans="1:4" ht="12.75">
      <c r="A70" s="30" t="s">
        <v>56</v>
      </c>
      <c r="B70" s="10">
        <f>Jtotal/Sbar*LN(-vmaxeff/vmaxpot+1)</f>
        <v>0.32962898314652755</v>
      </c>
      <c r="C70" s="2"/>
      <c r="D70" s="33" t="s">
        <v>82</v>
      </c>
    </row>
    <row r="71" spans="1:6" ht="13.5" thickBot="1">
      <c r="A71" s="40" t="s">
        <v>57</v>
      </c>
      <c r="B71" s="41">
        <f>Dwheel/2*Gammabar/Sbar*(Jtotal/Sbar*EXP(Sbar/Jtotal*taccel)-Jtotal/Sbar-taccel)</f>
        <v>0.23591958994569823</v>
      </c>
      <c r="C71" s="42"/>
      <c r="D71" s="43" t="s">
        <v>83</v>
      </c>
      <c r="F71" s="14"/>
    </row>
    <row r="72" spans="1:4" ht="12.75">
      <c r="A72" s="65" t="s">
        <v>114</v>
      </c>
      <c r="B72" s="66"/>
      <c r="C72" s="66"/>
      <c r="D72" s="67"/>
    </row>
    <row r="73" spans="1:4" ht="12.75">
      <c r="A73" s="44" t="s">
        <v>98</v>
      </c>
      <c r="B73" s="17">
        <f>SQRT(2*Jtotal*Xdes/(Dwheel/2*Gammabar))</f>
        <v>0.45317711189507653</v>
      </c>
      <c r="C73" s="18"/>
      <c r="D73" s="45" t="s">
        <v>84</v>
      </c>
    </row>
    <row r="74" spans="1:4" ht="25.5">
      <c r="A74" s="44" t="s">
        <v>99</v>
      </c>
      <c r="B74" s="39">
        <f>2*SQRT(Jtotal*Xdes/(Dwheel/2*Gammabar))</f>
        <v>0.6408892177990869</v>
      </c>
      <c r="C74" s="18"/>
      <c r="D74" s="63" t="s">
        <v>85</v>
      </c>
    </row>
    <row r="75" spans="1:4" ht="12.75">
      <c r="A75" s="82" t="s">
        <v>30</v>
      </c>
      <c r="B75" s="83"/>
      <c r="C75" s="84"/>
      <c r="D75" s="46"/>
    </row>
    <row r="76" spans="1:4" ht="25.5">
      <c r="A76" s="48" t="s">
        <v>109</v>
      </c>
      <c r="B76" s="49">
        <f>Nm*B22</f>
        <v>56.81692396633214</v>
      </c>
      <c r="C76" s="50"/>
      <c r="D76" s="64" t="s">
        <v>89</v>
      </c>
    </row>
    <row r="77" spans="1:27" s="2" customFormat="1" ht="12.75">
      <c r="A77" s="56" t="s">
        <v>110</v>
      </c>
      <c r="B77" s="57">
        <f>Pbat*tstop</f>
        <v>36.4133539585328</v>
      </c>
      <c r="C77" s="18"/>
      <c r="D77" s="51" t="s">
        <v>100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4" ht="13.5" thickBot="1">
      <c r="A78" s="52" t="s">
        <v>110</v>
      </c>
      <c r="B78" s="53">
        <f>Pbat*t</f>
        <v>25.748129509824555</v>
      </c>
      <c r="C78" s="54"/>
      <c r="D78" s="55" t="s">
        <v>90</v>
      </c>
    </row>
    <row r="80" spans="1:2" ht="13.5" thickBot="1">
      <c r="A80" s="28" t="s">
        <v>91</v>
      </c>
      <c r="B80" s="49"/>
    </row>
    <row r="81" spans="1:4" ht="12.75">
      <c r="A81" s="68"/>
      <c r="B81" s="69"/>
      <c r="C81" s="69"/>
      <c r="D81" s="70"/>
    </row>
    <row r="82" spans="1:4" ht="12.75">
      <c r="A82" s="71"/>
      <c r="B82" s="72"/>
      <c r="C82" s="72"/>
      <c r="D82" s="73"/>
    </row>
    <row r="83" spans="1:7" ht="12.75">
      <c r="A83" s="71"/>
      <c r="B83" s="72"/>
      <c r="C83" s="72"/>
      <c r="D83" s="73"/>
      <c r="G83"/>
    </row>
    <row r="84" spans="1:4" ht="12.75">
      <c r="A84" s="71"/>
      <c r="B84" s="72"/>
      <c r="C84" s="72"/>
      <c r="D84" s="73"/>
    </row>
    <row r="85" spans="1:4" ht="12.75">
      <c r="A85" s="71"/>
      <c r="B85" s="72"/>
      <c r="C85" s="72"/>
      <c r="D85" s="73"/>
    </row>
    <row r="86" spans="1:4" ht="12.75">
      <c r="A86" s="71"/>
      <c r="B86" s="72"/>
      <c r="C86" s="72"/>
      <c r="D86" s="73"/>
    </row>
    <row r="87" spans="1:4" ht="12.75">
      <c r="A87" s="71"/>
      <c r="B87" s="72"/>
      <c r="C87" s="72"/>
      <c r="D87" s="73"/>
    </row>
    <row r="88" spans="1:4" ht="12.75">
      <c r="A88" s="71"/>
      <c r="B88" s="72"/>
      <c r="C88" s="72"/>
      <c r="D88" s="73"/>
    </row>
    <row r="89" spans="1:4" ht="12.75">
      <c r="A89" s="71"/>
      <c r="B89" s="72"/>
      <c r="C89" s="72"/>
      <c r="D89" s="73"/>
    </row>
    <row r="90" spans="1:4" ht="12.75">
      <c r="A90" s="71"/>
      <c r="B90" s="72"/>
      <c r="C90" s="72"/>
      <c r="D90" s="73"/>
    </row>
    <row r="91" spans="1:4" ht="12.75">
      <c r="A91" s="71"/>
      <c r="B91" s="72"/>
      <c r="C91" s="72"/>
      <c r="D91" s="73"/>
    </row>
    <row r="92" spans="1:4" ht="12.75">
      <c r="A92" s="71"/>
      <c r="B92" s="72"/>
      <c r="C92" s="72"/>
      <c r="D92" s="73"/>
    </row>
    <row r="93" spans="1:4" ht="12.75">
      <c r="A93" s="71"/>
      <c r="B93" s="72"/>
      <c r="C93" s="72"/>
      <c r="D93" s="73"/>
    </row>
    <row r="94" spans="1:4" ht="12.75">
      <c r="A94" s="71"/>
      <c r="B94" s="72"/>
      <c r="C94" s="72"/>
      <c r="D94" s="73"/>
    </row>
    <row r="95" spans="1:4" ht="12.75">
      <c r="A95" s="71"/>
      <c r="B95" s="72"/>
      <c r="C95" s="72"/>
      <c r="D95" s="73"/>
    </row>
    <row r="96" spans="1:4" ht="12.75">
      <c r="A96" s="71"/>
      <c r="B96" s="72"/>
      <c r="C96" s="72"/>
      <c r="D96" s="73"/>
    </row>
    <row r="97" spans="1:4" ht="12.75">
      <c r="A97" s="71"/>
      <c r="B97" s="72"/>
      <c r="C97" s="72"/>
      <c r="D97" s="73"/>
    </row>
    <row r="98" spans="1:4" ht="12.75">
      <c r="A98" s="71"/>
      <c r="B98" s="72"/>
      <c r="C98" s="72"/>
      <c r="D98" s="73"/>
    </row>
    <row r="99" spans="1:4" ht="12.75">
      <c r="A99" s="71"/>
      <c r="B99" s="72"/>
      <c r="C99" s="72"/>
      <c r="D99" s="73"/>
    </row>
    <row r="100" spans="1:4" ht="12.75">
      <c r="A100" s="71"/>
      <c r="B100" s="72"/>
      <c r="C100" s="72"/>
      <c r="D100" s="73"/>
    </row>
    <row r="101" spans="1:4" ht="12.75">
      <c r="A101" s="71"/>
      <c r="B101" s="72"/>
      <c r="C101" s="72"/>
      <c r="D101" s="73"/>
    </row>
    <row r="102" spans="1:4" ht="12.75">
      <c r="A102" s="71"/>
      <c r="B102" s="72"/>
      <c r="C102" s="72"/>
      <c r="D102" s="73"/>
    </row>
    <row r="103" spans="1:4" ht="12.75">
      <c r="A103" s="71"/>
      <c r="B103" s="72"/>
      <c r="C103" s="72"/>
      <c r="D103" s="73"/>
    </row>
    <row r="104" spans="1:4" ht="12.75">
      <c r="A104" s="71"/>
      <c r="B104" s="72"/>
      <c r="C104" s="72"/>
      <c r="D104" s="73"/>
    </row>
    <row r="105" spans="1:4" ht="12.75">
      <c r="A105" s="71"/>
      <c r="B105" s="72"/>
      <c r="C105" s="72"/>
      <c r="D105" s="73"/>
    </row>
    <row r="106" spans="1:4" ht="12.75">
      <c r="A106" s="71"/>
      <c r="B106" s="72"/>
      <c r="C106" s="72"/>
      <c r="D106" s="73"/>
    </row>
    <row r="107" spans="1:4" ht="12.75">
      <c r="A107" s="71"/>
      <c r="B107" s="72"/>
      <c r="C107" s="72"/>
      <c r="D107" s="73"/>
    </row>
    <row r="108" spans="1:4" ht="12.75">
      <c r="A108" s="71"/>
      <c r="B108" s="72"/>
      <c r="C108" s="72"/>
      <c r="D108" s="73"/>
    </row>
    <row r="109" spans="1:4" ht="12.75">
      <c r="A109" s="71"/>
      <c r="B109" s="72"/>
      <c r="C109" s="72"/>
      <c r="D109" s="73"/>
    </row>
    <row r="110" spans="1:4" ht="12.75">
      <c r="A110" s="71"/>
      <c r="B110" s="72"/>
      <c r="C110" s="72"/>
      <c r="D110" s="73"/>
    </row>
    <row r="111" spans="1:4" ht="12.75">
      <c r="A111" s="71"/>
      <c r="B111" s="72"/>
      <c r="C111" s="72"/>
      <c r="D111" s="73"/>
    </row>
    <row r="112" spans="1:4" ht="12.75">
      <c r="A112" s="71"/>
      <c r="B112" s="72"/>
      <c r="C112" s="72"/>
      <c r="D112" s="73"/>
    </row>
    <row r="113" spans="1:4" ht="12.75">
      <c r="A113" s="71"/>
      <c r="B113" s="72"/>
      <c r="C113" s="72"/>
      <c r="D113" s="73"/>
    </row>
    <row r="114" spans="1:4" ht="12.75">
      <c r="A114" s="71"/>
      <c r="B114" s="72"/>
      <c r="C114" s="72"/>
      <c r="D114" s="73"/>
    </row>
    <row r="115" spans="1:4" ht="12.75">
      <c r="A115" s="71"/>
      <c r="B115" s="72"/>
      <c r="C115" s="72"/>
      <c r="D115" s="73"/>
    </row>
    <row r="116" spans="1:4" ht="12.75">
      <c r="A116" s="71"/>
      <c r="B116" s="72"/>
      <c r="C116" s="72"/>
      <c r="D116" s="73"/>
    </row>
    <row r="117" spans="1:4" ht="12.75">
      <c r="A117" s="71"/>
      <c r="B117" s="72"/>
      <c r="C117" s="72"/>
      <c r="D117" s="73"/>
    </row>
    <row r="118" spans="1:4" ht="12.75">
      <c r="A118" s="71"/>
      <c r="B118" s="72"/>
      <c r="C118" s="72"/>
      <c r="D118" s="73"/>
    </row>
    <row r="119" spans="1:4" ht="12.75">
      <c r="A119" s="71"/>
      <c r="B119" s="72"/>
      <c r="C119" s="72"/>
      <c r="D119" s="73"/>
    </row>
    <row r="120" spans="1:4" ht="12.75">
      <c r="A120" s="71"/>
      <c r="B120" s="72"/>
      <c r="C120" s="72"/>
      <c r="D120" s="73"/>
    </row>
    <row r="121" spans="1:4" ht="12.75">
      <c r="A121" s="71"/>
      <c r="B121" s="72"/>
      <c r="C121" s="72"/>
      <c r="D121" s="73"/>
    </row>
    <row r="122" spans="1:4" ht="12.75">
      <c r="A122" s="71"/>
      <c r="B122" s="72"/>
      <c r="C122" s="72"/>
      <c r="D122" s="73"/>
    </row>
    <row r="123" spans="1:4" ht="12.75">
      <c r="A123" s="71"/>
      <c r="B123" s="72"/>
      <c r="C123" s="72"/>
      <c r="D123" s="73"/>
    </row>
    <row r="124" spans="1:4" ht="12.75">
      <c r="A124" s="71"/>
      <c r="B124" s="72"/>
      <c r="C124" s="72"/>
      <c r="D124" s="73"/>
    </row>
    <row r="125" spans="1:4" ht="12.75">
      <c r="A125" s="71"/>
      <c r="B125" s="72"/>
      <c r="C125" s="72"/>
      <c r="D125" s="73"/>
    </row>
    <row r="126" spans="1:4" ht="12.75">
      <c r="A126" s="71"/>
      <c r="B126" s="72"/>
      <c r="C126" s="72"/>
      <c r="D126" s="73"/>
    </row>
    <row r="127" spans="1:4" ht="12.75">
      <c r="A127" s="71"/>
      <c r="B127" s="72"/>
      <c r="C127" s="72"/>
      <c r="D127" s="73"/>
    </row>
    <row r="128" spans="1:4" ht="12.75">
      <c r="A128" s="71"/>
      <c r="B128" s="72"/>
      <c r="C128" s="72"/>
      <c r="D128" s="73"/>
    </row>
    <row r="129" spans="1:4" ht="12.75">
      <c r="A129" s="71"/>
      <c r="B129" s="72"/>
      <c r="C129" s="72"/>
      <c r="D129" s="73"/>
    </row>
    <row r="130" spans="1:4" ht="12.75">
      <c r="A130" s="71"/>
      <c r="B130" s="72"/>
      <c r="C130" s="72"/>
      <c r="D130" s="73"/>
    </row>
    <row r="131" spans="1:4" ht="12.75">
      <c r="A131" s="71"/>
      <c r="B131" s="72"/>
      <c r="C131" s="72"/>
      <c r="D131" s="73"/>
    </row>
    <row r="132" spans="1:4" ht="12.75">
      <c r="A132" s="71"/>
      <c r="B132" s="72"/>
      <c r="C132" s="72"/>
      <c r="D132" s="73"/>
    </row>
    <row r="133" spans="1:4" ht="12.75">
      <c r="A133" s="71"/>
      <c r="B133" s="72"/>
      <c r="C133" s="72"/>
      <c r="D133" s="73"/>
    </row>
    <row r="134" spans="1:4" ht="12.75">
      <c r="A134" s="71"/>
      <c r="B134" s="72"/>
      <c r="C134" s="72"/>
      <c r="D134" s="73"/>
    </row>
    <row r="135" spans="1:4" ht="12.75">
      <c r="A135" s="71"/>
      <c r="B135" s="72"/>
      <c r="C135" s="72"/>
      <c r="D135" s="73"/>
    </row>
    <row r="136" spans="1:4" ht="12.75">
      <c r="A136" s="71"/>
      <c r="B136" s="72"/>
      <c r="C136" s="72"/>
      <c r="D136" s="73"/>
    </row>
    <row r="137" spans="1:4" ht="12.75">
      <c r="A137" s="71"/>
      <c r="B137" s="72"/>
      <c r="C137" s="72"/>
      <c r="D137" s="73"/>
    </row>
    <row r="138" spans="1:4" ht="12.75">
      <c r="A138" s="71"/>
      <c r="B138" s="72"/>
      <c r="C138" s="72"/>
      <c r="D138" s="73"/>
    </row>
    <row r="139" spans="1:4" ht="12.75">
      <c r="A139" s="71"/>
      <c r="B139" s="72"/>
      <c r="C139" s="72"/>
      <c r="D139" s="73"/>
    </row>
    <row r="140" spans="1:4" ht="12.75">
      <c r="A140" s="71"/>
      <c r="B140" s="72"/>
      <c r="C140" s="72"/>
      <c r="D140" s="73"/>
    </row>
    <row r="141" spans="1:4" ht="12.75">
      <c r="A141" s="71"/>
      <c r="B141" s="72"/>
      <c r="C141" s="72"/>
      <c r="D141" s="73"/>
    </row>
    <row r="142" spans="1:4" ht="12.75">
      <c r="A142" s="71"/>
      <c r="B142" s="72"/>
      <c r="C142" s="72"/>
      <c r="D142" s="73"/>
    </row>
    <row r="143" spans="1:4" ht="12.75">
      <c r="A143" s="71"/>
      <c r="B143" s="72"/>
      <c r="C143" s="72"/>
      <c r="D143" s="73"/>
    </row>
    <row r="144" spans="1:4" ht="12.75">
      <c r="A144" s="71"/>
      <c r="B144" s="72"/>
      <c r="C144" s="72"/>
      <c r="D144" s="73"/>
    </row>
    <row r="145" spans="1:4" ht="12.75">
      <c r="A145" s="71"/>
      <c r="B145" s="72"/>
      <c r="C145" s="72"/>
      <c r="D145" s="73"/>
    </row>
    <row r="146" spans="1:4" ht="12.75">
      <c r="A146" s="71"/>
      <c r="B146" s="72"/>
      <c r="C146" s="72"/>
      <c r="D146" s="73"/>
    </row>
    <row r="147" spans="1:4" ht="12.75">
      <c r="A147" s="71"/>
      <c r="B147" s="72"/>
      <c r="C147" s="72"/>
      <c r="D147" s="73"/>
    </row>
    <row r="148" spans="1:4" ht="12.75">
      <c r="A148" s="71"/>
      <c r="B148" s="72"/>
      <c r="C148" s="72"/>
      <c r="D148" s="73"/>
    </row>
    <row r="149" spans="1:4" ht="12.75">
      <c r="A149" s="71"/>
      <c r="B149" s="72"/>
      <c r="C149" s="72"/>
      <c r="D149" s="73"/>
    </row>
    <row r="150" spans="1:4" ht="12.75">
      <c r="A150" s="71"/>
      <c r="B150" s="72"/>
      <c r="C150" s="72"/>
      <c r="D150" s="73"/>
    </row>
    <row r="151" spans="1:4" ht="12.75">
      <c r="A151" s="71"/>
      <c r="B151" s="72"/>
      <c r="C151" s="72"/>
      <c r="D151" s="73"/>
    </row>
    <row r="152" spans="1:4" ht="12.75">
      <c r="A152" s="71"/>
      <c r="B152" s="72"/>
      <c r="C152" s="72"/>
      <c r="D152" s="73"/>
    </row>
    <row r="153" spans="1:4" ht="12.75">
      <c r="A153" s="71"/>
      <c r="B153" s="72"/>
      <c r="C153" s="72"/>
      <c r="D153" s="73"/>
    </row>
    <row r="154" spans="1:4" ht="12.75">
      <c r="A154" s="71"/>
      <c r="B154" s="72"/>
      <c r="C154" s="72"/>
      <c r="D154" s="73"/>
    </row>
    <row r="155" spans="1:4" ht="12.75">
      <c r="A155" s="71"/>
      <c r="B155" s="72"/>
      <c r="C155" s="72"/>
      <c r="D155" s="73"/>
    </row>
    <row r="156" spans="1:4" ht="12.75">
      <c r="A156" s="71"/>
      <c r="B156" s="72"/>
      <c r="C156" s="72"/>
      <c r="D156" s="73"/>
    </row>
    <row r="157" spans="1:4" ht="12.75">
      <c r="A157" s="71"/>
      <c r="B157" s="72"/>
      <c r="C157" s="72"/>
      <c r="D157" s="73"/>
    </row>
    <row r="158" spans="1:4" ht="12.75">
      <c r="A158" s="71"/>
      <c r="B158" s="72"/>
      <c r="C158" s="72"/>
      <c r="D158" s="73"/>
    </row>
    <row r="159" spans="1:4" ht="12.75">
      <c r="A159" s="71"/>
      <c r="B159" s="72"/>
      <c r="C159" s="72"/>
      <c r="D159" s="73"/>
    </row>
    <row r="160" spans="1:4" ht="12.75">
      <c r="A160" s="71"/>
      <c r="B160" s="72"/>
      <c r="C160" s="72"/>
      <c r="D160" s="73"/>
    </row>
    <row r="161" spans="1:4" ht="12.75">
      <c r="A161" s="71"/>
      <c r="B161" s="72"/>
      <c r="C161" s="72"/>
      <c r="D161" s="73"/>
    </row>
    <row r="162" spans="1:4" ht="12.75">
      <c r="A162" s="71"/>
      <c r="B162" s="72"/>
      <c r="C162" s="72"/>
      <c r="D162" s="73"/>
    </row>
    <row r="163" spans="1:4" ht="12.75">
      <c r="A163" s="71"/>
      <c r="B163" s="72"/>
      <c r="C163" s="72"/>
      <c r="D163" s="73"/>
    </row>
    <row r="164" spans="1:4" ht="12.75">
      <c r="A164" s="71"/>
      <c r="B164" s="72"/>
      <c r="C164" s="72"/>
      <c r="D164" s="73"/>
    </row>
    <row r="165" spans="1:4" ht="12.75">
      <c r="A165" s="71"/>
      <c r="B165" s="72"/>
      <c r="C165" s="72"/>
      <c r="D165" s="73"/>
    </row>
    <row r="166" spans="1:4" ht="12.75">
      <c r="A166" s="71"/>
      <c r="B166" s="72"/>
      <c r="C166" s="72"/>
      <c r="D166" s="73"/>
    </row>
    <row r="167" spans="1:4" ht="12.75">
      <c r="A167" s="71"/>
      <c r="B167" s="72"/>
      <c r="C167" s="72"/>
      <c r="D167" s="73"/>
    </row>
    <row r="168" spans="1:4" ht="12.75">
      <c r="A168" s="71"/>
      <c r="B168" s="72"/>
      <c r="C168" s="72"/>
      <c r="D168" s="73"/>
    </row>
    <row r="169" spans="1:4" ht="12.75">
      <c r="A169" s="71"/>
      <c r="B169" s="72"/>
      <c r="C169" s="72"/>
      <c r="D169" s="73"/>
    </row>
    <row r="170" spans="1:4" ht="12.75">
      <c r="A170" s="71"/>
      <c r="B170" s="72"/>
      <c r="C170" s="72"/>
      <c r="D170" s="73"/>
    </row>
    <row r="171" spans="1:4" ht="12.75">
      <c r="A171" s="71"/>
      <c r="B171" s="72"/>
      <c r="C171" s="72"/>
      <c r="D171" s="73"/>
    </row>
    <row r="172" spans="1:4" ht="12.75">
      <c r="A172" s="71"/>
      <c r="B172" s="72"/>
      <c r="C172" s="72"/>
      <c r="D172" s="73"/>
    </row>
    <row r="173" spans="1:4" ht="13.5" thickBot="1">
      <c r="A173" s="74"/>
      <c r="B173" s="75"/>
      <c r="C173" s="75"/>
      <c r="D173" s="76"/>
    </row>
  </sheetData>
  <mergeCells count="16">
    <mergeCell ref="A5:D5"/>
    <mergeCell ref="A7:D7"/>
    <mergeCell ref="A1:D1"/>
    <mergeCell ref="A2:D2"/>
    <mergeCell ref="A3:D3"/>
    <mergeCell ref="A4:D4"/>
    <mergeCell ref="A72:D72"/>
    <mergeCell ref="A81:D173"/>
    <mergeCell ref="A6:D6"/>
    <mergeCell ref="A37:C37"/>
    <mergeCell ref="A49:C49"/>
    <mergeCell ref="A75:C75"/>
    <mergeCell ref="A56:C56"/>
    <mergeCell ref="A60:C60"/>
    <mergeCell ref="A23:C23"/>
    <mergeCell ref="A8:C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4">
      <selection activeCell="Q12" sqref="Q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2003-08-18T15:40:37Z</dcterms:created>
  <dcterms:modified xsi:type="dcterms:W3CDTF">2006-03-22T00:06:36Z</dcterms:modified>
  <cp:category/>
  <cp:version/>
  <cp:contentType/>
  <cp:contentStatus/>
</cp:coreProperties>
</file>