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35" windowWidth="11850" windowHeight="7650" activeTab="0"/>
  </bookViews>
  <sheets>
    <sheet name="Hcontact.xls" sheetId="1" r:id="rId1"/>
  </sheets>
  <definedNames>
    <definedName name="a">'Hcontact.xls'!$B$45</definedName>
    <definedName name="A0age">'Hcontact.xls'!$F$24</definedName>
    <definedName name="A0alt">'Hcontact.xls'!#REF!</definedName>
    <definedName name="A1age">'Hcontact.xls'!$F$25</definedName>
    <definedName name="A1alt">'Hcontact.xls'!$F$18</definedName>
    <definedName name="A2age">'Hcontact.xls'!$F$30</definedName>
    <definedName name="A2alt">'Hcontact.xls'!$F$19</definedName>
    <definedName name="A3age">'Hcontact.xls'!$F$31</definedName>
    <definedName name="A3alt">'Hcontact.xls'!$F$20</definedName>
    <definedName name="A4age">'Hcontact.xls'!$F$32</definedName>
    <definedName name="A4alt">'Hcontact.xls'!$F$21</definedName>
    <definedName name="A5age">'Hcontact.xls'!$F$33</definedName>
    <definedName name="A5alt">'Hcontact.xls'!$F$22</definedName>
    <definedName name="alpha">'Hcontact.xls'!$D$35</definedName>
    <definedName name="B">'Hcontact.xls'!$B$15</definedName>
    <definedName name="b_1">'Hcontact.xls'!$D$16</definedName>
    <definedName name="b_2">'Hcontact.xls'!$D$18</definedName>
    <definedName name="B0age">'Hcontact.xls'!$H$24</definedName>
    <definedName name="B0alt">'Hcontact.xls'!#REF!</definedName>
    <definedName name="B1age">'Hcontact.xls'!$H$25</definedName>
    <definedName name="B1alt">'Hcontact.xls'!$H$18</definedName>
    <definedName name="B2age">'Hcontact.xls'!$H$30</definedName>
    <definedName name="B2alt">'Hcontact.xls'!$H$19</definedName>
    <definedName name="B3age">'Hcontact.xls'!$H$31</definedName>
    <definedName name="B3alt">'Hcontact.xls'!$H$20</definedName>
    <definedName name="B4age">'Hcontact.xls'!$H$32</definedName>
    <definedName name="B4alt">'Hcontact.xls'!$H$21</definedName>
    <definedName name="B5age">'Hcontact.xls'!$H$33</definedName>
    <definedName name="B5alt">'Hcontact.xls'!$H$22</definedName>
    <definedName name="beta">'Hcontact.xls'!$D$36</definedName>
    <definedName name="cc">'Hcontact.xls'!$B$38</definedName>
    <definedName name="costheta">'Hcontact.xls'!$D$33</definedName>
    <definedName name="d_0">'Hcontact.xls'!$B$14</definedName>
    <definedName name="d_1">'Hcontact.xls'!$B$5</definedName>
    <definedName name="d_2">'Hcontact.xls'!$B$6</definedName>
    <definedName name="dcouple">'Hcontact.xls'!$B$25</definedName>
    <definedName name="dd">'Hcontact.xls'!$B$39</definedName>
    <definedName name="defl_1">'Hcontact.xls'!$B$17</definedName>
    <definedName name="defl_2">'Hcontact.xls'!$B$18</definedName>
    <definedName name="DmDm">'Hcontact.xls'!#REF!</definedName>
    <definedName name="do">'Hcontact.xls'!$B$14</definedName>
    <definedName name="E1e">'Hcontact.xls'!$D$10</definedName>
    <definedName name="E2e">'Hcontact.xls'!$D$11</definedName>
    <definedName name="Ebar">'Hcontact.xls'!$B$10</definedName>
    <definedName name="Ee">'Hcontact.xls'!$D$9</definedName>
    <definedName name="Eone">'Hcontact.xls'!$B$9</definedName>
    <definedName name="Eroller">'Hcontact.xls'!$B$9</definedName>
    <definedName name="Etwo">'Hcontact.xls'!$B$10</definedName>
    <definedName name="F">'Hcontact.xls'!$B$8</definedName>
    <definedName name="Fpercent">'Hcontact.xls'!#REF!</definedName>
    <definedName name="L">'Hcontact.xls'!$B$7</definedName>
    <definedName name="L0age">'Hcontact.xls'!$J$24</definedName>
    <definedName name="L0alt">'Hcontact.xls'!#REF!</definedName>
    <definedName name="L1age">'Hcontact.xls'!$J$25</definedName>
    <definedName name="L1alt">'Hcontact.xls'!$J$18</definedName>
    <definedName name="L2age">'Hcontact.xls'!$J$30</definedName>
    <definedName name="L2alt">'Hcontact.xls'!$J$19</definedName>
    <definedName name="L3age">'Hcontact.xls'!$J$31</definedName>
    <definedName name="L3alt">'Hcontact.xls'!$J$20</definedName>
    <definedName name="L4age">'Hcontact.xls'!$J$32</definedName>
    <definedName name="L4alt">'Hcontact.xls'!$J$21</definedName>
    <definedName name="L5age">'Hcontact.xls'!$J$33</definedName>
    <definedName name="L5alt">'Hcontact.xls'!$J$22</definedName>
    <definedName name="lambda">'Hcontact.xls'!$D$37</definedName>
    <definedName name="mu">'Hcontact.xls'!#REF!</definedName>
    <definedName name="phi">'Hcontact.xls'!$B$36</definedName>
    <definedName name="Phi__degrees">'Hcontact.xls'!$B$36</definedName>
    <definedName name="Pmax">'Hcontact.xls'!$B$32</definedName>
    <definedName name="_xlnm.Print_Area" localSheetId="0">'Hcontact.xls'!$A$1:$B$24</definedName>
    <definedName name="q">'Hcontact.xls'!$B$40</definedName>
    <definedName name="qcyl">'Hcontact.xls'!$B$16</definedName>
    <definedName name="Ra">'Hcontact.xls'!$B$23</definedName>
    <definedName name="re">'Hcontact.xls'!$B$37</definedName>
    <definedName name="Ronemaj">'Hcontact.xls'!$B$32</definedName>
    <definedName name="Ronemin">'Hcontact.xls'!$B$33</definedName>
    <definedName name="Rtwomaj">'Hcontact.xls'!$B$34</definedName>
    <definedName name="Rtwomin">'Hcontact.xls'!$B$35</definedName>
    <definedName name="sigult">'Hcontact.xls'!$B$13</definedName>
    <definedName name="theta_1">'Hcontact.xls'!$D$34</definedName>
    <definedName name="tm">'Hcontact.xls'!#REF!</definedName>
    <definedName name="vbar">'Hcontact.xls'!$B$12</definedName>
    <definedName name="vone">'Hcontact.xls'!$B$11</definedName>
    <definedName name="vroller">'Hcontact.xls'!$B$11</definedName>
    <definedName name="vtwo">'Hcontact.xls'!$B$12</definedName>
    <definedName name="Xpercent">'Hcontact.xls'!#REF!</definedName>
    <definedName name="zinc">'Hcontact.xls'!$B$53</definedName>
  </definedNames>
  <calcPr fullCalcOnLoad="1"/>
</workbook>
</file>

<file path=xl/sharedStrings.xml><?xml version="1.0" encoding="utf-8"?>
<sst xmlns="http://schemas.openxmlformats.org/spreadsheetml/2006/main" count="65" uniqueCount="65">
  <si>
    <t>Ronemaj</t>
  </si>
  <si>
    <t>Ronemin</t>
  </si>
  <si>
    <t>Rtwomaj</t>
  </si>
  <si>
    <t>Rtwomin</t>
  </si>
  <si>
    <t>Phi (degrees)</t>
  </si>
  <si>
    <t>Poisson's ratio vone</t>
  </si>
  <si>
    <t>Poisson's ratio vtwo</t>
  </si>
  <si>
    <t>Equivelent radius Re</t>
  </si>
  <si>
    <t>costheta</t>
  </si>
  <si>
    <t>theta</t>
  </si>
  <si>
    <t>alpha</t>
  </si>
  <si>
    <t>beta</t>
  </si>
  <si>
    <t>lambda</t>
  </si>
  <si>
    <t>ellipse c</t>
  </si>
  <si>
    <t>ellipse d</t>
  </si>
  <si>
    <t>Stress ratio (must be less than 1)</t>
  </si>
  <si>
    <t>Deflection at the one contact interface</t>
  </si>
  <si>
    <t xml:space="preserve">    Deflection (µunits)</t>
  </si>
  <si>
    <t>Stiffness (load/µunits)</t>
  </si>
  <si>
    <t>zinc</t>
  </si>
  <si>
    <t>depth</t>
  </si>
  <si>
    <t>Contact pressure, q</t>
  </si>
  <si>
    <t>for circular contact a = c, a</t>
  </si>
  <si>
    <t>Depth at maximum shear stress/a</t>
  </si>
  <si>
    <t>Max shear stress/ultimate tensile</t>
  </si>
  <si>
    <t>To determine Hertz contact stress between two cylinders</t>
  </si>
  <si>
    <t>Conact area half-width b_1</t>
  </si>
  <si>
    <t>Conact area half-width b_2</t>
  </si>
  <si>
    <t>Smaller cylinder 1 diameter, d_1 (mm)</t>
  </si>
  <si>
    <t>Larger cylinder 2 (or flat plane) diameter, d_2 (mm)</t>
  </si>
  <si>
    <t>Length, L (mm)</t>
  </si>
  <si>
    <t>Applied load, F (N)</t>
  </si>
  <si>
    <t>Elastic modulus Eone (N/mm^2)</t>
  </si>
  <si>
    <t>Elastic modulus Etwo (N/mm^2)</t>
  </si>
  <si>
    <t>Equivelent modulus, Ee (N/mm^2)</t>
  </si>
  <si>
    <t>Ultimate tensile stress, sigult (N/mm^2)</t>
  </si>
  <si>
    <t>Contact pressure, qcyl (N/mm^2)</t>
  </si>
  <si>
    <t>Total relative displacement of the cylinder's centers, dcyls (mm)</t>
  </si>
  <si>
    <t>Deflection motion of d_1 center, defl_1 (mm)</t>
  </si>
  <si>
    <t>Deflection motion of d_2 center, defl_2 (mm)</t>
  </si>
  <si>
    <t>For a cylinder on a flat plate</t>
  </si>
  <si>
    <t>z/b_1</t>
  </si>
  <si>
    <t>Stress factor: Must be less than 1</t>
  </si>
  <si>
    <t>Rectangular contact zone width, 2b (mm)</t>
  </si>
  <si>
    <t>Equivelent modulus, E1e (N/mm^2)</t>
  </si>
  <si>
    <t>Equivelent modulus, E2e (N/mm^2)</t>
  </si>
  <si>
    <t>For d_1 pressed against a rigid flat plate</t>
  </si>
  <si>
    <t>For d_2 pressed against a rigid flat plate</t>
  </si>
  <si>
    <t>Depth below contact surface for evaluating deflection, do</t>
  </si>
  <si>
    <t>Manufacturing issues</t>
  </si>
  <si>
    <t>Surface roughness, Ra (mm)</t>
  </si>
  <si>
    <t>Potential induced contact width, Bra (mm)</t>
  </si>
  <si>
    <t>By Alex Slocum, last modified 2/10/2004 by Alex Slocum</t>
  </si>
  <si>
    <t>Hertz_contact_line.xls</t>
  </si>
  <si>
    <t>Compare to sphere-on-flat-plate of same diameter:</t>
  </si>
  <si>
    <r>
      <t xml:space="preserve">Enters numbers in </t>
    </r>
    <r>
      <rPr>
        <b/>
        <sz val="8"/>
        <rFont val="Times New Roman"/>
        <family val="1"/>
      </rPr>
      <t>BOLD,</t>
    </r>
    <r>
      <rPr>
        <sz val="8"/>
        <rFont val="Times New Roman"/>
        <family val="1"/>
      </rPr>
      <t xml:space="preserve"> Results in </t>
    </r>
    <r>
      <rPr>
        <b/>
        <sz val="8"/>
        <color indexed="10"/>
        <rFont val="Times New Roman"/>
        <family val="1"/>
      </rPr>
      <t>RED</t>
    </r>
  </si>
  <si>
    <r>
      <t>s</t>
    </r>
    <r>
      <rPr>
        <vertAlign val="subscript"/>
        <sz val="8"/>
        <rFont val="Times New Roman"/>
        <family val="1"/>
      </rPr>
      <t>x/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</si>
  <si>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s</t>
    </r>
    <r>
      <rPr>
        <vertAlign val="subscript"/>
        <sz val="8"/>
        <rFont val="Times New Roman"/>
        <family val="1"/>
      </rPr>
      <t>y/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</si>
  <si>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s</t>
    </r>
    <r>
      <rPr>
        <vertAlign val="subscript"/>
        <sz val="8"/>
        <rFont val="Times New Roman"/>
        <family val="1"/>
      </rPr>
      <t>z/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</si>
  <si>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t</t>
    </r>
    <r>
      <rPr>
        <sz val="8"/>
        <rFont val="Times New Roman"/>
        <family val="1"/>
      </rPr>
      <t>yx/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</si>
  <si>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t</t>
    </r>
    <r>
      <rPr>
        <sz val="8"/>
        <rFont val="Times New Roman"/>
        <family val="1"/>
      </rPr>
      <t>zx/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</si>
  <si>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t</t>
    </r>
    <r>
      <rPr>
        <sz val="8"/>
        <rFont val="Times New Roman"/>
        <family val="1"/>
      </rPr>
      <t>zy/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</si>
  <si>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t>Maximum shear stress/(ultimate tensile/2)</t>
  </si>
  <si>
    <t>Coupling mean diameter, dcouple (mm)</t>
  </si>
  <si>
    <t>Maximum torque capability, Gammax (N-mm)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</si>
</sst>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  <numFmt numFmtId="167" formatCode="0.0000"/>
    <numFmt numFmtId="168" formatCode="0.00000"/>
    <numFmt numFmtId="169" formatCode="#,##0.0"/>
    <numFmt numFmtId="170" formatCode="#,##0.000"/>
    <numFmt numFmtId="171" formatCode="0.0000000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Geneva"/>
      <family val="0"/>
    </font>
    <font>
      <sz val="8"/>
      <name val="Symbol"/>
      <family val="1"/>
    </font>
    <font>
      <vertAlign val="sub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/>
    </xf>
    <xf numFmtId="1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/>
    </xf>
    <xf numFmtId="11" fontId="11" fillId="0" borderId="1" xfId="0" applyNumberFormat="1" applyFont="1" applyFill="1" applyBorder="1" applyAlignment="1">
      <alignment/>
    </xf>
    <xf numFmtId="11" fontId="13" fillId="0" borderId="1" xfId="0" applyNumberFormat="1" applyFont="1" applyFill="1" applyBorder="1" applyAlignment="1">
      <alignment/>
    </xf>
    <xf numFmtId="11" fontId="13" fillId="0" borderId="1" xfId="0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/>
    </xf>
    <xf numFmtId="2" fontId="13" fillId="0" borderId="1" xfId="0" applyNumberFormat="1" applyFont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" fontId="1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67" fontId="13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64" fontId="13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left" indent="1"/>
    </xf>
    <xf numFmtId="166" fontId="13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 horizontal="left" indent="1"/>
    </xf>
    <xf numFmtId="0" fontId="12" fillId="2" borderId="1" xfId="0" applyFont="1" applyFill="1" applyBorder="1" applyAlignment="1">
      <alignment horizontal="left"/>
    </xf>
    <xf numFmtId="167" fontId="13" fillId="2" borderId="1" xfId="0" applyNumberFormat="1" applyFont="1" applyFill="1" applyBorder="1" applyAlignment="1">
      <alignment/>
    </xf>
    <xf numFmtId="167" fontId="13" fillId="2" borderId="0" xfId="0" applyNumberFormat="1" applyFont="1" applyFill="1" applyBorder="1" applyAlignment="1">
      <alignment/>
    </xf>
    <xf numFmtId="165" fontId="11" fillId="0" borderId="1" xfId="0" applyNumberFormat="1" applyFont="1" applyFill="1" applyBorder="1" applyAlignment="1">
      <alignment/>
    </xf>
    <xf numFmtId="167" fontId="13" fillId="0" borderId="1" xfId="0" applyNumberFormat="1" applyFont="1" applyFill="1" applyBorder="1" applyAlignment="1">
      <alignment/>
    </xf>
    <xf numFmtId="2" fontId="13" fillId="0" borderId="1" xfId="0" applyNumberFormat="1" applyFont="1" applyFill="1" applyBorder="1" applyAlignment="1">
      <alignment/>
    </xf>
    <xf numFmtId="166" fontId="13" fillId="0" borderId="1" xfId="0" applyNumberFormat="1" applyFont="1" applyFill="1" applyBorder="1" applyAlignment="1">
      <alignment/>
    </xf>
    <xf numFmtId="0" fontId="14" fillId="0" borderId="0" xfId="0" applyFont="1" applyAlignment="1">
      <alignment/>
    </xf>
    <xf numFmtId="165" fontId="13" fillId="0" borderId="1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166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State of Stress below a cylinder on a flat plate</a:t>
            </a:r>
          </a:p>
        </c:rich>
      </c:tx>
      <c:layout>
        <c:manualLayout>
          <c:xMode val="factor"/>
          <c:yMode val="factor"/>
          <c:x val="0.010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025"/>
          <c:w val="0.94275"/>
          <c:h val="0.8285"/>
        </c:manualLayout>
      </c:layout>
      <c:scatterChart>
        <c:scatterStyle val="smooth"/>
        <c:varyColors val="0"/>
        <c:ser>
          <c:idx val="2"/>
          <c:order val="0"/>
          <c:tx>
            <c:strRef>
              <c:f>'Hcontact.xls'!$F$54</c:f>
              <c:strCache>
                <c:ptCount val="1"/>
                <c:pt idx="0">
                  <c:v>tyx/sultimate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'Hcontact.xls'!$B$55:$B$105</c:f>
              <c:numCache/>
            </c:numRef>
          </c:xVal>
          <c:yVal>
            <c:numRef>
              <c:f>'Hcontact.xls'!$H$55:$H$105</c:f>
              <c:numCache/>
            </c:numRef>
          </c:yVal>
          <c:smooth val="1"/>
        </c:ser>
        <c:axId val="57110437"/>
        <c:axId val="44231886"/>
      </c:scatterChart>
      <c:valAx>
        <c:axId val="5711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below surface/contact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31886"/>
        <c:crosses val="autoZero"/>
        <c:crossBetween val="midCat"/>
        <c:dispUnits/>
      </c:valAx>
      <c:valAx>
        <c:axId val="44231886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</a:t>
                </a:r>
                <a:r>
                  <a:rPr lang="en-US" cap="none" sz="1000" b="1" i="0" u="none" baseline="-25000"/>
                  <a:t>zy</a:t>
                </a:r>
                <a:r>
                  <a:rPr lang="en-US" cap="none" sz="1000" b="1" i="0" u="none" baseline="0"/>
                  <a:t> shear stress/ultimate tensile stress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104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</xdr:row>
      <xdr:rowOff>19050</xdr:rowOff>
    </xdr:from>
    <xdr:to>
      <xdr:col>14</xdr:col>
      <xdr:colOff>219075</xdr:colOff>
      <xdr:row>38</xdr:row>
      <xdr:rowOff>85725</xdr:rowOff>
    </xdr:to>
    <xdr:graphicFrame>
      <xdr:nvGraphicFramePr>
        <xdr:cNvPr id="1" name="Chart 3"/>
        <xdr:cNvGraphicFramePr/>
      </xdr:nvGraphicFramePr>
      <xdr:xfrm>
        <a:off x="7934325" y="161925"/>
        <a:ext cx="84391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17</xdr:row>
      <xdr:rowOff>47625</xdr:rowOff>
    </xdr:from>
    <xdr:to>
      <xdr:col>3</xdr:col>
      <xdr:colOff>95250</xdr:colOff>
      <xdr:row>29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486025"/>
          <a:ext cx="24765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43.875" style="37" customWidth="1"/>
    <col min="2" max="2" width="8.75390625" style="1" customWidth="1"/>
    <col min="3" max="3" width="32.25390625" style="1" customWidth="1"/>
    <col min="4" max="5" width="11.75390625" style="1" customWidth="1"/>
    <col min="6" max="6" width="12.25390625" style="1" customWidth="1"/>
    <col min="7" max="7" width="12.375" style="1" customWidth="1"/>
    <col min="8" max="13" width="11.375" style="1" customWidth="1"/>
    <col min="14" max="14" width="10.75390625" style="1" customWidth="1"/>
    <col min="15" max="15" width="12.125" style="1" customWidth="1"/>
    <col min="16" max="19" width="10.75390625" style="1" customWidth="1"/>
    <col min="20" max="16384" width="11.375" style="1" customWidth="1"/>
  </cols>
  <sheetData>
    <row r="1" spans="1:2" ht="11.25">
      <c r="A1" s="45" t="s">
        <v>53</v>
      </c>
      <c r="B1" s="45"/>
    </row>
    <row r="2" spans="1:2" ht="11.25">
      <c r="A2" s="46" t="s">
        <v>25</v>
      </c>
      <c r="B2" s="46"/>
    </row>
    <row r="3" spans="1:2" ht="11.25">
      <c r="A3" s="47" t="s">
        <v>52</v>
      </c>
      <c r="B3" s="47"/>
    </row>
    <row r="4" spans="1:2" ht="12" thickBot="1">
      <c r="A4" s="44" t="s">
        <v>55</v>
      </c>
      <c r="B4" s="44"/>
    </row>
    <row r="5" spans="1:2" ht="11.25">
      <c r="A5" s="3" t="s">
        <v>28</v>
      </c>
      <c r="B5" s="4">
        <v>2</v>
      </c>
    </row>
    <row r="6" spans="1:2" ht="11.25">
      <c r="A6" s="2" t="s">
        <v>29</v>
      </c>
      <c r="B6" s="5">
        <v>1000000</v>
      </c>
    </row>
    <row r="7" spans="1:2" ht="11.25">
      <c r="A7" s="2" t="s">
        <v>30</v>
      </c>
      <c r="B7" s="6">
        <v>2</v>
      </c>
    </row>
    <row r="8" spans="1:2" ht="11.25">
      <c r="A8" s="7" t="s">
        <v>31</v>
      </c>
      <c r="B8" s="8">
        <v>50</v>
      </c>
    </row>
    <row r="9" spans="1:4" ht="11.25">
      <c r="A9" s="7" t="s">
        <v>32</v>
      </c>
      <c r="B9" s="9">
        <v>2000</v>
      </c>
      <c r="C9" s="7" t="s">
        <v>34</v>
      </c>
      <c r="D9" s="10">
        <f>1/((1-vone^2)/Eone+(1-vtwo^2)/Etwo)</f>
        <v>2162.024260074222</v>
      </c>
    </row>
    <row r="10" spans="1:4" ht="11.25">
      <c r="A10" s="7" t="s">
        <v>33</v>
      </c>
      <c r="B10" s="9">
        <f>200000</f>
        <v>200000</v>
      </c>
      <c r="C10" s="7" t="s">
        <v>44</v>
      </c>
      <c r="D10" s="11">
        <f>(1/((1-vone^2)/Eone))</f>
        <v>2183.6445026749643</v>
      </c>
    </row>
    <row r="11" spans="1:4" ht="11.25">
      <c r="A11" s="7" t="s">
        <v>5</v>
      </c>
      <c r="B11" s="12">
        <v>0.29</v>
      </c>
      <c r="C11" s="7" t="s">
        <v>45</v>
      </c>
      <c r="D11" s="11">
        <f>(1/((1-vtwo^2)/Etwo))</f>
        <v>218364.45026749646</v>
      </c>
    </row>
    <row r="12" spans="1:2" ht="11.25">
      <c r="A12" s="7" t="s">
        <v>6</v>
      </c>
      <c r="B12" s="12">
        <v>0.29</v>
      </c>
    </row>
    <row r="13" spans="1:2" ht="11.25">
      <c r="A13" s="7" t="s">
        <v>35</v>
      </c>
      <c r="B13" s="13">
        <f>80</f>
        <v>80</v>
      </c>
    </row>
    <row r="14" spans="1:2" ht="11.25">
      <c r="A14" s="2" t="s">
        <v>48</v>
      </c>
      <c r="B14" s="6">
        <v>300</v>
      </c>
    </row>
    <row r="15" spans="1:5" ht="11.25">
      <c r="A15" s="2" t="s">
        <v>43</v>
      </c>
      <c r="B15" s="14">
        <f>2*SQRT(2*F*d_1*d_2/(PI()*L*Ee*(d_1+d_2)))</f>
        <v>0.24267461181327524</v>
      </c>
      <c r="C15" s="15" t="s">
        <v>46</v>
      </c>
      <c r="D15" s="16"/>
      <c r="E15" s="17"/>
    </row>
    <row r="16" spans="1:5" ht="11.25">
      <c r="A16" s="2" t="s">
        <v>36</v>
      </c>
      <c r="B16" s="18">
        <f>2*F/(PI()*(B/2)*L)</f>
        <v>131.16736184529788</v>
      </c>
      <c r="C16" s="15" t="s">
        <v>26</v>
      </c>
      <c r="D16" s="19">
        <f>SQRT(2*F*d_1/(PI()*L*E1e))</f>
        <v>0.12073525267206217</v>
      </c>
      <c r="E16" s="20"/>
    </row>
    <row r="17" spans="1:5" ht="11.25">
      <c r="A17" s="2" t="s">
        <v>38</v>
      </c>
      <c r="B17" s="21">
        <f>(2*F)/(PI()*L*E1e)*(LN(2*d_1/b_1)-0.5)</f>
        <v>0.021868777936457723</v>
      </c>
      <c r="C17" s="15" t="s">
        <v>47</v>
      </c>
      <c r="D17" s="16"/>
      <c r="E17" s="17"/>
    </row>
    <row r="18" spans="1:5" ht="11.25">
      <c r="A18" s="22" t="s">
        <v>39</v>
      </c>
      <c r="B18" s="23">
        <f>IF(d_2&lt;1000,(2*F)/(PI()*L*E2e)*(LN(2*d_2/b_2)-0.5),(2*F)/(PI()*L*E2e)*(LN(2*do/b_1)-vtwo/(2*(1-vtwo))))</f>
        <v>0.0006054455008270685</v>
      </c>
      <c r="C18" s="15" t="s">
        <v>27</v>
      </c>
      <c r="D18" s="19">
        <f>SQRT(2*F*d_2/(PI()*L*E2e))</f>
        <v>8.537271589268638</v>
      </c>
      <c r="E18" s="20"/>
    </row>
    <row r="19" spans="1:2" ht="11.25">
      <c r="A19" s="22" t="s">
        <v>37</v>
      </c>
      <c r="B19" s="21">
        <f>defl_1+defl_2</f>
        <v>0.02247422343728479</v>
      </c>
    </row>
    <row r="20" spans="1:2" ht="11.25">
      <c r="A20" s="22" t="s">
        <v>42</v>
      </c>
      <c r="B20" s="22"/>
    </row>
    <row r="21" spans="1:2" ht="11.25">
      <c r="A21" s="24" t="s">
        <v>62</v>
      </c>
      <c r="B21" s="14">
        <f>0.3*qcyl/(sigult/2)</f>
        <v>0.9837552138397341</v>
      </c>
    </row>
    <row r="22" spans="1:2" ht="11.25">
      <c r="A22" s="42" t="s">
        <v>49</v>
      </c>
      <c r="B22" s="43"/>
    </row>
    <row r="23" spans="1:2" ht="11.25">
      <c r="A23" s="24" t="s">
        <v>50</v>
      </c>
      <c r="B23" s="6">
        <v>0.005</v>
      </c>
    </row>
    <row r="24" spans="1:2" ht="11.25">
      <c r="A24" s="24" t="s">
        <v>51</v>
      </c>
      <c r="B24" s="25">
        <f>SQRT(8*Ra*(d_1/2))</f>
        <v>0.2</v>
      </c>
    </row>
    <row r="25" spans="1:2" ht="11.25">
      <c r="A25" s="2" t="s">
        <v>63</v>
      </c>
      <c r="B25" s="6">
        <v>8</v>
      </c>
    </row>
    <row r="26" spans="1:2" ht="11.25">
      <c r="A26" s="2" t="s">
        <v>64</v>
      </c>
      <c r="B26" s="48">
        <f>dcouple*F</f>
        <v>400</v>
      </c>
    </row>
    <row r="31" spans="1:2" ht="11.25">
      <c r="A31" s="6" t="s">
        <v>54</v>
      </c>
      <c r="B31" s="22"/>
    </row>
    <row r="32" spans="1:2" ht="11.25">
      <c r="A32" s="26" t="s">
        <v>0</v>
      </c>
      <c r="B32" s="13">
        <f>d_1/2</f>
        <v>1</v>
      </c>
    </row>
    <row r="33" spans="1:5" ht="11.25">
      <c r="A33" s="26" t="s">
        <v>1</v>
      </c>
      <c r="B33" s="13">
        <f>d_1/2</f>
        <v>1</v>
      </c>
      <c r="C33" s="27" t="s">
        <v>8</v>
      </c>
      <c r="D33" s="28">
        <f>re*SQRT((1/Ronemaj-1/Ronemin)^2+(1/Rtwomaj-1/Rtwomin)^2+2*(1/Ronemaj-1/Ronemin)*(1/Rtwomaj-1/Rtwomin)*COS(2*phi*PI()/180))</f>
        <v>0</v>
      </c>
      <c r="E33" s="29"/>
    </row>
    <row r="34" spans="1:5" ht="11.25">
      <c r="A34" s="26" t="s">
        <v>2</v>
      </c>
      <c r="B34" s="30">
        <v>1000</v>
      </c>
      <c r="C34" s="27" t="s">
        <v>9</v>
      </c>
      <c r="D34" s="28">
        <f>ACOS(D33)</f>
        <v>1.5707963267948966</v>
      </c>
      <c r="E34" s="29"/>
    </row>
    <row r="35" spans="1:5" ht="11.25">
      <c r="A35" s="26" t="s">
        <v>3</v>
      </c>
      <c r="B35" s="30">
        <f>Rtwomaj</f>
        <v>1000</v>
      </c>
      <c r="C35" s="27" t="s">
        <v>10</v>
      </c>
      <c r="D35" s="28">
        <f>1.939*2.71831^(-5.26*theta_1)+1.78*2.71831^(-1.09*theta_1)+0.723/theta_1+0.221</f>
        <v>1.0030145953604</v>
      </c>
      <c r="E35" s="29"/>
    </row>
    <row r="36" spans="1:5" ht="11.25">
      <c r="A36" s="26" t="s">
        <v>4</v>
      </c>
      <c r="B36" s="12">
        <v>0</v>
      </c>
      <c r="C36" s="27" t="s">
        <v>11</v>
      </c>
      <c r="D36" s="28">
        <f>35.228*2.71831^(-0.98*theta_1)-32.424*2.71831^(-1.0475*theta_1)+1.486*theta_1-2.634</f>
        <v>1.0014084128731353</v>
      </c>
      <c r="E36" s="29"/>
    </row>
    <row r="37" spans="1:5" ht="11.25">
      <c r="A37" s="26" t="s">
        <v>7</v>
      </c>
      <c r="B37" s="31">
        <f>1/(1/Ronemaj+1/Ronemin+1/Rtwomaj+1/Rtwomin)</f>
        <v>0.4995004995004996</v>
      </c>
      <c r="C37" s="27" t="s">
        <v>12</v>
      </c>
      <c r="D37" s="28">
        <f>-0.214*2.71831^(-4.95*theta_1)-0.179*theta_1^2+0.555*theta_1+0.319</f>
        <v>0.7490373083770202</v>
      </c>
      <c r="E37" s="29"/>
    </row>
    <row r="38" spans="1:2" ht="11.25">
      <c r="A38" s="26" t="s">
        <v>13</v>
      </c>
      <c r="B38" s="10">
        <f>alpha*(1.5*F*re/Ee)^0.333333</f>
        <v>0.25954941174826507</v>
      </c>
    </row>
    <row r="39" spans="1:2" ht="11.25">
      <c r="A39" s="26" t="s">
        <v>14</v>
      </c>
      <c r="B39" s="10">
        <f>beta*(1.5*F*re/Ee)^0.333333</f>
        <v>0.25913378098709944</v>
      </c>
    </row>
    <row r="40" spans="1:2" ht="11.25">
      <c r="A40" s="26" t="s">
        <v>21</v>
      </c>
      <c r="B40" s="10">
        <f>3*F/(2*PI()*cc*dd)</f>
        <v>354.95010580079224</v>
      </c>
    </row>
    <row r="41" spans="1:2" ht="11.25">
      <c r="A41" s="26" t="s">
        <v>15</v>
      </c>
      <c r="B41" s="32">
        <f>B40/B13</f>
        <v>4.436876322509903</v>
      </c>
    </row>
    <row r="42" spans="1:2" ht="11.25">
      <c r="A42" s="26" t="s">
        <v>16</v>
      </c>
      <c r="B42" s="10"/>
    </row>
    <row r="43" spans="1:4" ht="11.25">
      <c r="A43" s="26" t="s">
        <v>17</v>
      </c>
      <c r="B43" s="33">
        <f>1000000*lambda*(2*F^2/(3*re*Ee^2))^0.33333</f>
        <v>66943.92471973177</v>
      </c>
      <c r="D43" s="34"/>
    </row>
    <row r="44" spans="1:2" ht="11.25">
      <c r="A44" s="26" t="s">
        <v>18</v>
      </c>
      <c r="B44" s="33">
        <f>B8/B43</f>
        <v>0.0007468937653316651</v>
      </c>
    </row>
    <row r="45" spans="1:3" ht="11.25">
      <c r="A45" s="24" t="s">
        <v>22</v>
      </c>
      <c r="B45" s="14">
        <f>cc</f>
        <v>0.25954941174826507</v>
      </c>
      <c r="C45" s="34"/>
    </row>
    <row r="46" spans="1:2" ht="11.25">
      <c r="A46" s="24" t="s">
        <v>23</v>
      </c>
      <c r="B46" s="35">
        <f>SQRT(2*(1+vone)/(7-2*vone))</f>
        <v>0.6339315096116493</v>
      </c>
    </row>
    <row r="47" spans="1:2" ht="11.25">
      <c r="A47" s="24" t="s">
        <v>24</v>
      </c>
      <c r="B47" s="35">
        <f>(q/2)*((1-2*vone)/2+2*(1+vone)*SQRT(2*(1+vone))/9)/sigult</f>
        <v>1.4873626192860938</v>
      </c>
    </row>
    <row r="48" ht="11.25">
      <c r="A48" s="1"/>
    </row>
    <row r="49" ht="11.25">
      <c r="A49" s="1"/>
    </row>
    <row r="50" spans="1:3" ht="11.25">
      <c r="A50" s="1"/>
      <c r="C50" s="36"/>
    </row>
    <row r="52" spans="1:6" ht="11.25">
      <c r="A52" s="37" t="s">
        <v>40</v>
      </c>
      <c r="F52" s="38">
        <f>MAX(ABS(MIN(F55:H105)),MAX(F55:H105))*sigult/qcyl</f>
        <v>0.2999668421918393</v>
      </c>
    </row>
    <row r="53" spans="1:2" ht="11.25">
      <c r="A53" s="37" t="s">
        <v>19</v>
      </c>
      <c r="B53" s="1">
        <f>0.1*B</f>
        <v>0.024267461181327526</v>
      </c>
    </row>
    <row r="54" spans="1:8" ht="12.75">
      <c r="A54" s="39" t="s">
        <v>20</v>
      </c>
      <c r="B54" s="40" t="s">
        <v>41</v>
      </c>
      <c r="C54" s="41" t="s">
        <v>56</v>
      </c>
      <c r="D54" s="41" t="s">
        <v>57</v>
      </c>
      <c r="E54" s="41" t="s">
        <v>58</v>
      </c>
      <c r="F54" s="41" t="s">
        <v>59</v>
      </c>
      <c r="G54" s="41" t="s">
        <v>60</v>
      </c>
      <c r="H54" s="41" t="s">
        <v>61</v>
      </c>
    </row>
    <row r="55" spans="1:8" ht="11.25">
      <c r="A55" s="1">
        <v>0</v>
      </c>
      <c r="B55" s="38">
        <f aca="true" t="shared" si="0" ref="B55:B86">A55/a</f>
        <v>0</v>
      </c>
      <c r="C55" s="38">
        <f aca="true" t="shared" si="1" ref="C55:C86">-2*qcyl*vone*(SQRT(1+B55^2)-B55)/sigult</f>
        <v>-0.9509633733784095</v>
      </c>
      <c r="D55" s="38">
        <f aca="true" t="shared" si="2" ref="D55:D86">-qcyl*((2-1/(1+B55^2))*SQRT(1+B55^2)-2*B55)/sigult</f>
        <v>-1.6395920230662235</v>
      </c>
      <c r="E55" s="38">
        <f aca="true" t="shared" si="3" ref="E55:E86">-qcyl*SQRT(1/(1+B55^2))/sigult</f>
        <v>-1.6395920230662235</v>
      </c>
      <c r="F55" s="38">
        <f>(D55-C55)/2</f>
        <v>-0.344314324843907</v>
      </c>
      <c r="G55" s="38">
        <f>(E55-C55)/2</f>
        <v>-0.344314324843907</v>
      </c>
      <c r="H55" s="38">
        <f>(E55-D55)/2</f>
        <v>0</v>
      </c>
    </row>
    <row r="56" spans="1:8" ht="11.25">
      <c r="A56" s="1">
        <f aca="true" t="shared" si="4" ref="A56:A87">A55+zinc</f>
        <v>0.024267461181327526</v>
      </c>
      <c r="B56" s="38">
        <f t="shared" si="0"/>
        <v>0.09349842489669885</v>
      </c>
      <c r="C56" s="38">
        <f t="shared" si="1"/>
        <v>-0.8661973907610492</v>
      </c>
      <c r="D56" s="38">
        <f t="shared" si="2"/>
        <v>-1.3544155034995569</v>
      </c>
      <c r="E56" s="38">
        <f t="shared" si="3"/>
        <v>-1.6324720508488888</v>
      </c>
      <c r="F56" s="38">
        <f aca="true" t="shared" si="5" ref="F56:F99">(D56-C56)/2</f>
        <v>-0.24410905636925384</v>
      </c>
      <c r="G56" s="38">
        <f aca="true" t="shared" si="6" ref="G56:G105">(E56-C56)/2</f>
        <v>-0.3831373300439198</v>
      </c>
      <c r="H56" s="38">
        <f aca="true" t="shared" si="7" ref="H56:H105">(E56-D56)/2</f>
        <v>-0.13902827367466597</v>
      </c>
    </row>
    <row r="57" spans="1:8" ht="11.25">
      <c r="A57" s="1">
        <f t="shared" si="4"/>
        <v>0.04853492236265505</v>
      </c>
      <c r="B57" s="38">
        <f t="shared" si="0"/>
        <v>0.1869968497933977</v>
      </c>
      <c r="C57" s="38">
        <f t="shared" si="1"/>
        <v>-0.7896199156035841</v>
      </c>
      <c r="D57" s="38">
        <f t="shared" si="2"/>
        <v>-1.1111712072703246</v>
      </c>
      <c r="E57" s="38">
        <f t="shared" si="3"/>
        <v>-1.6116560879144486</v>
      </c>
      <c r="F57" s="38">
        <f t="shared" si="5"/>
        <v>-0.16077564583337023</v>
      </c>
      <c r="G57" s="38">
        <f t="shared" si="6"/>
        <v>-0.4110180861554322</v>
      </c>
      <c r="H57" s="38">
        <f t="shared" si="7"/>
        <v>-0.250242440322062</v>
      </c>
    </row>
    <row r="58" spans="1:8" ht="11.25">
      <c r="A58" s="1">
        <f t="shared" si="4"/>
        <v>0.07280238354398258</v>
      </c>
      <c r="B58" s="38">
        <f t="shared" si="0"/>
        <v>0.28049527469009655</v>
      </c>
      <c r="C58" s="38">
        <f t="shared" si="1"/>
        <v>-0.7209241680030971</v>
      </c>
      <c r="D58" s="38">
        <f t="shared" si="2"/>
        <v>-0.9072804566690784</v>
      </c>
      <c r="E58" s="38">
        <f t="shared" si="3"/>
        <v>-1.578664950238153</v>
      </c>
      <c r="F58" s="38">
        <f t="shared" si="5"/>
        <v>-0.09317814433299065</v>
      </c>
      <c r="G58" s="38">
        <f t="shared" si="6"/>
        <v>-0.4288703911175279</v>
      </c>
      <c r="H58" s="38">
        <f t="shared" si="7"/>
        <v>-0.33569224678453724</v>
      </c>
    </row>
    <row r="59" spans="1:8" ht="11.25">
      <c r="A59" s="1">
        <f t="shared" si="4"/>
        <v>0.0970698447253101</v>
      </c>
      <c r="B59" s="38">
        <f t="shared" si="0"/>
        <v>0.3739936995867954</v>
      </c>
      <c r="C59" s="38">
        <f t="shared" si="1"/>
        <v>-0.6596394039023343</v>
      </c>
      <c r="D59" s="38">
        <f t="shared" si="2"/>
        <v>-0.7389133110547134</v>
      </c>
      <c r="E59" s="38">
        <f t="shared" si="3"/>
        <v>-1.535705323091267</v>
      </c>
      <c r="F59" s="38">
        <f t="shared" si="5"/>
        <v>-0.039636953576189515</v>
      </c>
      <c r="G59" s="38">
        <f t="shared" si="6"/>
        <v>-0.4380329595944663</v>
      </c>
      <c r="H59" s="38">
        <f t="shared" si="7"/>
        <v>-0.3983960060182768</v>
      </c>
    </row>
    <row r="60" spans="1:8" ht="11.25">
      <c r="A60" s="1">
        <f t="shared" si="4"/>
        <v>0.12133730590663763</v>
      </c>
      <c r="B60" s="38">
        <f t="shared" si="0"/>
        <v>0.46749212448349425</v>
      </c>
      <c r="C60" s="38">
        <f t="shared" si="1"/>
        <v>-0.6051806270638991</v>
      </c>
      <c r="D60" s="38">
        <f t="shared" si="2"/>
        <v>-0.6015292796210802</v>
      </c>
      <c r="E60" s="38">
        <f t="shared" si="3"/>
        <v>-1.4853004688751237</v>
      </c>
      <c r="F60" s="38">
        <f t="shared" si="5"/>
        <v>0.0018256737214094598</v>
      </c>
      <c r="G60" s="38">
        <f t="shared" si="6"/>
        <v>-0.4400599209056123</v>
      </c>
      <c r="H60" s="38">
        <f t="shared" si="7"/>
        <v>-0.44188559462702176</v>
      </c>
    </row>
    <row r="61" spans="1:8" ht="11.25">
      <c r="A61" s="1">
        <f t="shared" si="4"/>
        <v>0.14560476708796516</v>
      </c>
      <c r="B61" s="38">
        <f t="shared" si="0"/>
        <v>0.5609905493801931</v>
      </c>
      <c r="C61" s="38">
        <f t="shared" si="1"/>
        <v>-0.5569009498906847</v>
      </c>
      <c r="D61" s="38">
        <f t="shared" si="2"/>
        <v>-0.49039844546724465</v>
      </c>
      <c r="E61" s="38">
        <f t="shared" si="3"/>
        <v>-1.4299496576040822</v>
      </c>
      <c r="F61" s="38">
        <f t="shared" si="5"/>
        <v>0.03325125221172004</v>
      </c>
      <c r="G61" s="38">
        <f t="shared" si="6"/>
        <v>-0.43652435385669874</v>
      </c>
      <c r="H61" s="38">
        <f t="shared" si="7"/>
        <v>-0.4697756060684188</v>
      </c>
    </row>
    <row r="62" spans="1:8" ht="11.25">
      <c r="A62" s="1">
        <f t="shared" si="4"/>
        <v>0.16987222826929269</v>
      </c>
      <c r="B62" s="38">
        <f t="shared" si="0"/>
        <v>0.6544889742768919</v>
      </c>
      <c r="C62" s="38">
        <f t="shared" si="1"/>
        <v>-0.5141378105709177</v>
      </c>
      <c r="D62" s="38">
        <f t="shared" si="2"/>
        <v>-0.4010043647836642</v>
      </c>
      <c r="E62" s="38">
        <f t="shared" si="3"/>
        <v>-1.3718846371850177</v>
      </c>
      <c r="F62" s="38">
        <f t="shared" si="5"/>
        <v>0.05656672289362674</v>
      </c>
      <c r="G62" s="38">
        <f t="shared" si="6"/>
        <v>-0.42887341330705003</v>
      </c>
      <c r="H62" s="38">
        <f t="shared" si="7"/>
        <v>-0.4854401362006768</v>
      </c>
    </row>
    <row r="63" spans="1:8" ht="11.25">
      <c r="A63" s="1">
        <f t="shared" si="4"/>
        <v>0.1941396894506202</v>
      </c>
      <c r="B63" s="38">
        <f t="shared" si="0"/>
        <v>0.7479873991735908</v>
      </c>
      <c r="C63" s="38">
        <f t="shared" si="1"/>
        <v>-0.47624823760645396</v>
      </c>
      <c r="D63" s="38">
        <f t="shared" si="2"/>
        <v>-0.32929440940350596</v>
      </c>
      <c r="E63" s="38">
        <f t="shared" si="3"/>
        <v>-1.3129408926877146</v>
      </c>
      <c r="F63" s="38">
        <f t="shared" si="5"/>
        <v>0.073476914101474</v>
      </c>
      <c r="G63" s="38">
        <f t="shared" si="6"/>
        <v>-0.41834632754063034</v>
      </c>
      <c r="H63" s="38">
        <f t="shared" si="7"/>
        <v>-0.49182324164210434</v>
      </c>
    </row>
    <row r="64" spans="1:8" ht="11.25">
      <c r="A64" s="1">
        <f t="shared" si="4"/>
        <v>0.21840715063194774</v>
      </c>
      <c r="B64" s="38">
        <f t="shared" si="0"/>
        <v>0.8414858240702896</v>
      </c>
      <c r="C64" s="38">
        <f t="shared" si="1"/>
        <v>-0.4426321393061243</v>
      </c>
      <c r="D64" s="38">
        <f t="shared" si="2"/>
        <v>-0.2717926221150406</v>
      </c>
      <c r="E64" s="38">
        <f t="shared" si="3"/>
        <v>-1.2545250996302157</v>
      </c>
      <c r="F64" s="38">
        <f t="shared" si="5"/>
        <v>0.08541975859554182</v>
      </c>
      <c r="G64" s="38">
        <f t="shared" si="6"/>
        <v>-0.4059464801620457</v>
      </c>
      <c r="H64" s="38">
        <f t="shared" si="7"/>
        <v>-0.49136623875758756</v>
      </c>
    </row>
    <row r="65" spans="1:8" ht="11.25">
      <c r="A65" s="1">
        <f t="shared" si="4"/>
        <v>0.24267461181327526</v>
      </c>
      <c r="B65" s="38">
        <f t="shared" si="0"/>
        <v>0.9349842489669885</v>
      </c>
      <c r="C65" s="38">
        <f t="shared" si="1"/>
        <v>-0.41274508111467495</v>
      </c>
      <c r="D65" s="38">
        <f t="shared" si="2"/>
        <v>-0.22561323769653646</v>
      </c>
      <c r="E65" s="38">
        <f t="shared" si="3"/>
        <v>-1.1976456626988936</v>
      </c>
      <c r="F65" s="38">
        <f t="shared" si="5"/>
        <v>0.09356592170906924</v>
      </c>
      <c r="G65" s="38">
        <f t="shared" si="6"/>
        <v>-0.39245029079210936</v>
      </c>
      <c r="H65" s="38">
        <f t="shared" si="7"/>
        <v>-0.48601621250117855</v>
      </c>
    </row>
    <row r="66" spans="1:8" ht="11.25">
      <c r="A66" s="1">
        <f t="shared" si="4"/>
        <v>0.2669420729946028</v>
      </c>
      <c r="B66" s="38">
        <f t="shared" si="0"/>
        <v>1.0284826738636874</v>
      </c>
      <c r="C66" s="38">
        <f t="shared" si="1"/>
        <v>-0.38610308511386376</v>
      </c>
      <c r="D66" s="38">
        <f t="shared" si="2"/>
        <v>-0.18841507455785275</v>
      </c>
      <c r="E66" s="38">
        <f t="shared" si="3"/>
        <v>-1.142974874110643</v>
      </c>
      <c r="F66" s="38">
        <f t="shared" si="5"/>
        <v>0.0988440052780055</v>
      </c>
      <c r="G66" s="38">
        <f t="shared" si="6"/>
        <v>-0.37843589449838955</v>
      </c>
      <c r="H66" s="38">
        <f t="shared" si="7"/>
        <v>-0.47727989977639507</v>
      </c>
    </row>
    <row r="67" spans="1:8" ht="11.25">
      <c r="A67" s="1">
        <f t="shared" si="4"/>
        <v>0.2912095341759303</v>
      </c>
      <c r="B67" s="38">
        <f t="shared" si="0"/>
        <v>1.1219810987603862</v>
      </c>
      <c r="C67" s="38">
        <f t="shared" si="1"/>
        <v>-0.3622820563852148</v>
      </c>
      <c r="D67" s="38">
        <f t="shared" si="2"/>
        <v>-0.15832845624546343</v>
      </c>
      <c r="E67" s="38">
        <f t="shared" si="3"/>
        <v>-1.0909200140483803</v>
      </c>
      <c r="F67" s="38">
        <f t="shared" si="5"/>
        <v>0.1019768000698757</v>
      </c>
      <c r="G67" s="38">
        <f t="shared" si="6"/>
        <v>-0.36431897883158276</v>
      </c>
      <c r="H67" s="38">
        <f t="shared" si="7"/>
        <v>-0.46629577890145846</v>
      </c>
    </row>
    <row r="68" spans="1:8" ht="11.25">
      <c r="A68" s="1">
        <f t="shared" si="4"/>
        <v>0.3154769953572578</v>
      </c>
      <c r="B68" s="38">
        <f t="shared" si="0"/>
        <v>1.2154795236570848</v>
      </c>
      <c r="C68" s="38">
        <f t="shared" si="1"/>
        <v>-0.3409140047948317</v>
      </c>
      <c r="D68" s="38">
        <f t="shared" si="2"/>
        <v>-0.1338753655131973</v>
      </c>
      <c r="E68" s="38">
        <f t="shared" si="3"/>
        <v>-1.041690168262084</v>
      </c>
      <c r="F68" s="38">
        <f t="shared" si="5"/>
        <v>0.1035193196408172</v>
      </c>
      <c r="G68" s="38">
        <f t="shared" si="6"/>
        <v>-0.3503880817336262</v>
      </c>
      <c r="H68" s="38">
        <f t="shared" si="7"/>
        <v>-0.4539074013744434</v>
      </c>
    </row>
    <row r="69" spans="1:8" ht="11.25">
      <c r="A69" s="1">
        <f t="shared" si="4"/>
        <v>0.3397444565385853</v>
      </c>
      <c r="B69" s="38">
        <f t="shared" si="0"/>
        <v>1.3089779485537836</v>
      </c>
      <c r="C69" s="38">
        <f t="shared" si="1"/>
        <v>-0.32168164880601957</v>
      </c>
      <c r="D69" s="38">
        <f t="shared" si="2"/>
        <v>-0.11389430683888453</v>
      </c>
      <c r="E69" s="38">
        <f t="shared" si="3"/>
        <v>-0.9953527580094585</v>
      </c>
      <c r="F69" s="38">
        <f t="shared" si="5"/>
        <v>0.10389367098356753</v>
      </c>
      <c r="G69" s="38">
        <f t="shared" si="6"/>
        <v>-0.3368355546017195</v>
      </c>
      <c r="H69" s="38">
        <f t="shared" si="7"/>
        <v>-0.440729225585287</v>
      </c>
    </row>
    <row r="70" spans="1:8" ht="11.25">
      <c r="A70" s="1">
        <f t="shared" si="4"/>
        <v>0.3640119177199128</v>
      </c>
      <c r="B70" s="38">
        <f t="shared" si="0"/>
        <v>1.4024763734504824</v>
      </c>
      <c r="C70" s="38">
        <f t="shared" si="1"/>
        <v>-0.30431245355603564</v>
      </c>
      <c r="D70" s="38">
        <f t="shared" si="2"/>
        <v>-0.09747500970640607</v>
      </c>
      <c r="E70" s="38">
        <f t="shared" si="3"/>
        <v>-0.9518782784178548</v>
      </c>
      <c r="F70" s="38">
        <f t="shared" si="5"/>
        <v>0.10341872192481479</v>
      </c>
      <c r="G70" s="38">
        <f t="shared" si="6"/>
        <v>-0.32378291243090956</v>
      </c>
      <c r="H70" s="38">
        <f t="shared" si="7"/>
        <v>-0.42720163435572434</v>
      </c>
    </row>
    <row r="71" spans="1:8" ht="11.25">
      <c r="A71" s="1">
        <f t="shared" si="4"/>
        <v>0.3882793789012403</v>
      </c>
      <c r="B71" s="38">
        <f t="shared" si="0"/>
        <v>1.4959747983471812</v>
      </c>
      <c r="C71" s="38">
        <f t="shared" si="1"/>
        <v>-0.2885727402867728</v>
      </c>
      <c r="D71" s="38">
        <f t="shared" si="2"/>
        <v>-0.08390433211396355</v>
      </c>
      <c r="E71" s="38">
        <f t="shared" si="3"/>
        <v>-0.9111740826680116</v>
      </c>
      <c r="F71" s="38">
        <f t="shared" si="5"/>
        <v>0.10233420408640465</v>
      </c>
      <c r="G71" s="38">
        <f t="shared" si="6"/>
        <v>-0.3113006711906194</v>
      </c>
      <c r="H71" s="38">
        <f t="shared" si="7"/>
        <v>-0.41363487527702403</v>
      </c>
    </row>
    <row r="72" spans="1:8" ht="11.25">
      <c r="A72" s="1">
        <f t="shared" si="4"/>
        <v>0.4125468400825678</v>
      </c>
      <c r="B72" s="38">
        <f t="shared" si="0"/>
        <v>1.5894732232438797</v>
      </c>
      <c r="C72" s="38">
        <f t="shared" si="1"/>
        <v>-0.2742622134352034</v>
      </c>
      <c r="D72" s="38">
        <f t="shared" si="2"/>
        <v>-0.07262277433020595</v>
      </c>
      <c r="E72" s="38">
        <f t="shared" si="3"/>
        <v>-0.8731089961360124</v>
      </c>
      <c r="F72" s="38">
        <f t="shared" si="5"/>
        <v>0.10081971955249873</v>
      </c>
      <c r="G72" s="38">
        <f t="shared" si="6"/>
        <v>-0.2994233913504045</v>
      </c>
      <c r="H72" s="38">
        <f t="shared" si="7"/>
        <v>-0.40024311090290327</v>
      </c>
    </row>
    <row r="73" spans="1:8" ht="11.25">
      <c r="A73" s="1">
        <f t="shared" si="4"/>
        <v>0.4368143012638953</v>
      </c>
      <c r="B73" s="38">
        <f t="shared" si="0"/>
        <v>1.6829716481405785</v>
      </c>
      <c r="C73" s="38">
        <f t="shared" si="1"/>
        <v>-0.2612090632375621</v>
      </c>
      <c r="D73" s="38">
        <f t="shared" si="2"/>
        <v>-0.06319018810904956</v>
      </c>
      <c r="E73" s="38">
        <f t="shared" si="3"/>
        <v>-0.8375307196066819</v>
      </c>
      <c r="F73" s="38">
        <f t="shared" si="5"/>
        <v>0.09900943756425627</v>
      </c>
      <c r="G73" s="38">
        <f t="shared" si="6"/>
        <v>-0.2881608281845599</v>
      </c>
      <c r="H73" s="38">
        <f t="shared" si="7"/>
        <v>-0.3871702657488162</v>
      </c>
    </row>
    <row r="74" spans="1:8" ht="11.25">
      <c r="A74" s="1">
        <f t="shared" si="4"/>
        <v>0.4610817624452228</v>
      </c>
      <c r="B74" s="38">
        <f t="shared" si="0"/>
        <v>1.7764700730372773</v>
      </c>
      <c r="C74" s="38">
        <f t="shared" si="1"/>
        <v>-0.24926568781346092</v>
      </c>
      <c r="D74" s="38">
        <f t="shared" si="2"/>
        <v>-0.05525906072852749</v>
      </c>
      <c r="E74" s="38">
        <f t="shared" si="3"/>
        <v>-0.804277793800648</v>
      </c>
      <c r="F74" s="38">
        <f t="shared" si="5"/>
        <v>0.09700331354246672</v>
      </c>
      <c r="G74" s="38">
        <f t="shared" si="6"/>
        <v>-0.27750605299359354</v>
      </c>
      <c r="H74" s="38">
        <f t="shared" si="7"/>
        <v>-0.37450936653606026</v>
      </c>
    </row>
    <row r="75" spans="1:8" ht="11.25">
      <c r="A75" s="1">
        <f t="shared" si="4"/>
        <v>0.4853492236265503</v>
      </c>
      <c r="B75" s="38">
        <f t="shared" si="0"/>
        <v>1.8699684979339761</v>
      </c>
      <c r="C75" s="38">
        <f t="shared" si="1"/>
        <v>-0.23830501502661133</v>
      </c>
      <c r="D75" s="38">
        <f t="shared" si="2"/>
        <v>-0.048553847991856566</v>
      </c>
      <c r="E75" s="38">
        <f t="shared" si="3"/>
        <v>-0.7731875831343897</v>
      </c>
      <c r="F75" s="38">
        <f t="shared" si="5"/>
        <v>0.09487558351737738</v>
      </c>
      <c r="G75" s="38">
        <f t="shared" si="6"/>
        <v>-0.26744128405388923</v>
      </c>
      <c r="H75" s="38">
        <f t="shared" si="7"/>
        <v>-0.3623168675712666</v>
      </c>
    </row>
    <row r="76" spans="1:8" ht="11.25">
      <c r="A76" s="1">
        <f t="shared" si="4"/>
        <v>0.5096166848078778</v>
      </c>
      <c r="B76" s="38">
        <f t="shared" si="0"/>
        <v>1.9634669228306747</v>
      </c>
      <c r="C76" s="38">
        <f t="shared" si="1"/>
        <v>-0.22821737260109454</v>
      </c>
      <c r="D76" s="38">
        <f t="shared" si="2"/>
        <v>-0.042855044540057806</v>
      </c>
      <c r="E76" s="38">
        <f t="shared" si="3"/>
        <v>-0.744101412705096</v>
      </c>
      <c r="F76" s="38">
        <f t="shared" si="5"/>
        <v>0.09268116403051836</v>
      </c>
      <c r="G76" s="38">
        <f t="shared" si="6"/>
        <v>-0.25794202005200073</v>
      </c>
      <c r="H76" s="38">
        <f t="shared" si="7"/>
        <v>-0.3506231840825191</v>
      </c>
    </row>
    <row r="77" spans="1:8" ht="11.25">
      <c r="A77" s="1">
        <f t="shared" si="4"/>
        <v>0.5338841459892053</v>
      </c>
      <c r="B77" s="38">
        <f t="shared" si="0"/>
        <v>2.0569653477273735</v>
      </c>
      <c r="C77" s="38">
        <f t="shared" si="1"/>
        <v>-0.2189078422943478</v>
      </c>
      <c r="D77" s="38">
        <f t="shared" si="2"/>
        <v>-0.037986919653821914</v>
      </c>
      <c r="E77" s="38">
        <f t="shared" si="3"/>
        <v>-0.7168677089473766</v>
      </c>
      <c r="F77" s="38">
        <f t="shared" si="5"/>
        <v>0.09046046132026293</v>
      </c>
      <c r="G77" s="38">
        <f t="shared" si="6"/>
        <v>-0.2489799333265144</v>
      </c>
      <c r="H77" s="38">
        <f t="shared" si="7"/>
        <v>-0.33944039464677733</v>
      </c>
    </row>
    <row r="78" spans="1:8" ht="11.25">
      <c r="A78" s="1">
        <f t="shared" si="4"/>
        <v>0.5581516071705328</v>
      </c>
      <c r="B78" s="38">
        <f t="shared" si="0"/>
        <v>2.150463772624072</v>
      </c>
      <c r="C78" s="38">
        <f t="shared" si="1"/>
        <v>-0.21029403209333658</v>
      </c>
      <c r="D78" s="38">
        <f t="shared" si="2"/>
        <v>-0.0338080690333941</v>
      </c>
      <c r="E78" s="38">
        <f t="shared" si="3"/>
        <v>-0.6913437657712151</v>
      </c>
      <c r="F78" s="38">
        <f t="shared" si="5"/>
        <v>0.08824298152997123</v>
      </c>
      <c r="G78" s="38">
        <f t="shared" si="6"/>
        <v>-0.24052486683893928</v>
      </c>
      <c r="H78" s="38">
        <f t="shared" si="7"/>
        <v>-0.32876784836891054</v>
      </c>
    </row>
    <row r="79" spans="1:8" ht="11.25">
      <c r="A79" s="1">
        <f t="shared" si="4"/>
        <v>0.5824190683518603</v>
      </c>
      <c r="B79" s="38">
        <f t="shared" si="0"/>
        <v>2.243962197520771</v>
      </c>
      <c r="C79" s="38">
        <f t="shared" si="1"/>
        <v>-0.20230420423677747</v>
      </c>
      <c r="D79" s="38">
        <f t="shared" si="2"/>
        <v>-0.030204121898345315</v>
      </c>
      <c r="E79" s="38">
        <f t="shared" si="3"/>
        <v>-0.6673965823664049</v>
      </c>
      <c r="F79" s="38">
        <f t="shared" si="5"/>
        <v>0.08605004116921608</v>
      </c>
      <c r="G79" s="38">
        <f t="shared" si="6"/>
        <v>-0.2325461890648137</v>
      </c>
      <c r="H79" s="38">
        <f t="shared" si="7"/>
        <v>-0.3185962302340298</v>
      </c>
    </row>
    <row r="80" spans="1:8" ht="11.25">
      <c r="A80" s="1">
        <f t="shared" si="4"/>
        <v>0.6066865295331878</v>
      </c>
      <c r="B80" s="38">
        <f t="shared" si="0"/>
        <v>2.3374606224174697</v>
      </c>
      <c r="C80" s="38">
        <f t="shared" si="1"/>
        <v>-0.19487570328289444</v>
      </c>
      <c r="D80" s="38">
        <f t="shared" si="2"/>
        <v>-0.027082095612819997</v>
      </c>
      <c r="E80" s="38">
        <f t="shared" si="3"/>
        <v>-0.6449030881212988</v>
      </c>
      <c r="F80" s="38">
        <f t="shared" si="5"/>
        <v>0.08389680383503723</v>
      </c>
      <c r="G80" s="38">
        <f t="shared" si="6"/>
        <v>-0.2250136924192022</v>
      </c>
      <c r="H80" s="38">
        <f t="shared" si="7"/>
        <v>-0.3089104962542394</v>
      </c>
    </row>
    <row r="81" spans="1:8" ht="11.25">
      <c r="A81" s="1">
        <f t="shared" si="4"/>
        <v>0.6309539907145153</v>
      </c>
      <c r="B81" s="38">
        <f t="shared" si="0"/>
        <v>2.4309590473141687</v>
      </c>
      <c r="C81" s="38">
        <f t="shared" si="1"/>
        <v>-0.18795363567438944</v>
      </c>
      <c r="D81" s="38">
        <f t="shared" si="2"/>
        <v>-0.024366010236629813</v>
      </c>
      <c r="E81" s="38">
        <f t="shared" si="3"/>
        <v>-0.6237499748474711</v>
      </c>
      <c r="F81" s="38">
        <f t="shared" si="5"/>
        <v>0.08179381271887981</v>
      </c>
      <c r="G81" s="38">
        <f t="shared" si="6"/>
        <v>-0.21789816958654082</v>
      </c>
      <c r="H81" s="38">
        <f t="shared" si="7"/>
        <v>-0.29969198230542066</v>
      </c>
    </row>
    <row r="82" spans="1:8" ht="11.25">
      <c r="A82" s="1">
        <f t="shared" si="4"/>
        <v>0.6552214518958428</v>
      </c>
      <c r="B82" s="38">
        <f t="shared" si="0"/>
        <v>2.5244574722108672</v>
      </c>
      <c r="C82" s="38">
        <f t="shared" si="1"/>
        <v>-0.18148975935178624</v>
      </c>
      <c r="D82" s="38">
        <f t="shared" si="2"/>
        <v>-0.02199346822608406</v>
      </c>
      <c r="E82" s="38">
        <f t="shared" si="3"/>
        <v>-0.6038332881593858</v>
      </c>
      <c r="F82" s="38">
        <f t="shared" si="5"/>
        <v>0.07974814556285109</v>
      </c>
      <c r="G82" s="38">
        <f t="shared" si="6"/>
        <v>-0.21117176440379976</v>
      </c>
      <c r="H82" s="38">
        <f t="shared" si="7"/>
        <v>-0.29091990996665085</v>
      </c>
    </row>
    <row r="83" spans="1:8" ht="11.25">
      <c r="A83" s="1">
        <f t="shared" si="4"/>
        <v>0.6794889130771703</v>
      </c>
      <c r="B83" s="38">
        <f t="shared" si="0"/>
        <v>2.617955897107566</v>
      </c>
      <c r="C83" s="38">
        <f t="shared" si="1"/>
        <v>-0.17544154847043192</v>
      </c>
      <c r="D83" s="38">
        <f t="shared" si="2"/>
        <v>-0.01991297540079586</v>
      </c>
      <c r="E83" s="38">
        <f t="shared" si="3"/>
        <v>-0.5850578813937968</v>
      </c>
      <c r="F83" s="38">
        <f t="shared" si="5"/>
        <v>0.07776428653481803</v>
      </c>
      <c r="G83" s="38">
        <f t="shared" si="6"/>
        <v>-0.20480816646168243</v>
      </c>
      <c r="H83" s="38">
        <f t="shared" si="7"/>
        <v>-0.28257245299650047</v>
      </c>
    </row>
    <row r="84" spans="1:8" ht="11.25">
      <c r="A84" s="1">
        <f t="shared" si="4"/>
        <v>0.7037563742584978</v>
      </c>
      <c r="B84" s="38">
        <f t="shared" si="0"/>
        <v>2.711454322004265</v>
      </c>
      <c r="C84" s="38">
        <f t="shared" si="1"/>
        <v>-0.16977140400148136</v>
      </c>
      <c r="D84" s="38">
        <f t="shared" si="2"/>
        <v>-0.018081833080005553</v>
      </c>
      <c r="E84" s="38">
        <f t="shared" si="3"/>
        <v>-0.567336801407861</v>
      </c>
      <c r="F84" s="38">
        <f t="shared" si="5"/>
        <v>0.0758447854607379</v>
      </c>
      <c r="G84" s="38">
        <f t="shared" si="6"/>
        <v>-0.19878269870318982</v>
      </c>
      <c r="H84" s="38">
        <f t="shared" si="7"/>
        <v>-0.27462748416392774</v>
      </c>
    </row>
    <row r="85" spans="1:8" ht="11.25">
      <c r="A85" s="1">
        <f t="shared" si="4"/>
        <v>0.7280238354398253</v>
      </c>
      <c r="B85" s="38">
        <f t="shared" si="0"/>
        <v>2.8049527469009634</v>
      </c>
      <c r="C85" s="38">
        <f t="shared" si="1"/>
        <v>-0.16444598591206325</v>
      </c>
      <c r="D85" s="38">
        <f t="shared" si="2"/>
        <v>-0.01646447195929566</v>
      </c>
      <c r="E85" s="38">
        <f t="shared" si="3"/>
        <v>-0.5505906518754049</v>
      </c>
      <c r="F85" s="38">
        <f t="shared" si="5"/>
        <v>0.0739907569763838</v>
      </c>
      <c r="G85" s="38">
        <f t="shared" si="6"/>
        <v>-0.1930723329816708</v>
      </c>
      <c r="H85" s="38">
        <f t="shared" si="7"/>
        <v>-0.2670630899580546</v>
      </c>
    </row>
    <row r="86" spans="1:8" ht="11.25">
      <c r="A86" s="1">
        <f t="shared" si="4"/>
        <v>0.7522912966211528</v>
      </c>
      <c r="B86" s="38">
        <f t="shared" si="0"/>
        <v>2.898451171797662</v>
      </c>
      <c r="C86" s="38">
        <f t="shared" si="1"/>
        <v>-0.1594356467711402</v>
      </c>
      <c r="D86" s="38">
        <f t="shared" si="2"/>
        <v>-0.01503112900636252</v>
      </c>
      <c r="E86" s="38">
        <f t="shared" si="3"/>
        <v>-0.5347469633079134</v>
      </c>
      <c r="F86" s="38">
        <f t="shared" si="5"/>
        <v>0.07220225888238883</v>
      </c>
      <c r="G86" s="38">
        <f t="shared" si="6"/>
        <v>-0.1876556582683866</v>
      </c>
      <c r="H86" s="38">
        <f t="shared" si="7"/>
        <v>-0.25985791715077544</v>
      </c>
    </row>
    <row r="87" spans="1:8" ht="11.25">
      <c r="A87" s="1">
        <f t="shared" si="4"/>
        <v>0.7765587578024803</v>
      </c>
      <c r="B87" s="38">
        <f aca="true" t="shared" si="8" ref="B87:B105">A87/a</f>
        <v>2.991949596694361</v>
      </c>
      <c r="C87" s="38">
        <f aca="true" t="shared" si="9" ref="C87:C105">-2*qcyl*vone*(SQRT(1+B87^2)-B87)/sigult</f>
        <v>-0.15471395009663164</v>
      </c>
      <c r="D87" s="38">
        <f aca="true" t="shared" si="10" ref="D87:D105">-qcyl*((2-1/(1+B87^2))*SQRT(1+B87^2)-2*B87)/sigult</f>
        <v>-0.013756791848307628</v>
      </c>
      <c r="E87" s="38">
        <f aca="true" t="shared" si="11" ref="E87:E105">-qcyl*SQRT(1/(1+B87^2))/sigult</f>
        <v>-0.5197395877952501</v>
      </c>
      <c r="F87" s="38">
        <f t="shared" si="5"/>
        <v>0.070478579124162</v>
      </c>
      <c r="G87" s="38">
        <f t="shared" si="6"/>
        <v>-0.18251281884930923</v>
      </c>
      <c r="H87" s="38">
        <f t="shared" si="7"/>
        <v>-0.25299139797347125</v>
      </c>
    </row>
    <row r="88" spans="1:8" ht="11.25">
      <c r="A88" s="1">
        <f aca="true" t="shared" si="12" ref="A88:A105">A87+zinc</f>
        <v>0.8008262189838078</v>
      </c>
      <c r="B88" s="38">
        <f t="shared" si="8"/>
        <v>3.0854480215910596</v>
      </c>
      <c r="C88" s="38">
        <f t="shared" si="9"/>
        <v>-0.15025725963792536</v>
      </c>
      <c r="D88" s="38">
        <f t="shared" si="10"/>
        <v>-0.012620352665994674</v>
      </c>
      <c r="E88" s="38">
        <f t="shared" si="11"/>
        <v>-0.5055081288440918</v>
      </c>
      <c r="F88" s="38">
        <f t="shared" si="5"/>
        <v>0.06881845348596534</v>
      </c>
      <c r="G88" s="38">
        <f t="shared" si="6"/>
        <v>-0.17762543460308322</v>
      </c>
      <c r="H88" s="38">
        <f t="shared" si="7"/>
        <v>-0.24644388808904857</v>
      </c>
    </row>
    <row r="89" spans="1:8" ht="11.25">
      <c r="A89" s="1">
        <f t="shared" si="12"/>
        <v>0.8250936801651353</v>
      </c>
      <c r="B89" s="38">
        <f t="shared" si="8"/>
        <v>3.1789464464877586</v>
      </c>
      <c r="C89" s="38">
        <f t="shared" si="9"/>
        <v>-0.1460443881658264</v>
      </c>
      <c r="D89" s="38">
        <f t="shared" si="10"/>
        <v>-0.01160392690994539</v>
      </c>
      <c r="E89" s="38">
        <f t="shared" si="11"/>
        <v>-0.49199741159290394</v>
      </c>
      <c r="F89" s="38">
        <f t="shared" si="5"/>
        <v>0.06722023062794051</v>
      </c>
      <c r="G89" s="38">
        <f t="shared" si="6"/>
        <v>-0.17297651171353878</v>
      </c>
      <c r="H89" s="38">
        <f t="shared" si="7"/>
        <v>-0.24019674234147928</v>
      </c>
    </row>
    <row r="90" spans="1:8" ht="11.25">
      <c r="A90" s="1">
        <f t="shared" si="12"/>
        <v>0.8493611413464628</v>
      </c>
      <c r="B90" s="38">
        <f t="shared" si="8"/>
        <v>3.272444871384457</v>
      </c>
      <c r="C90" s="38">
        <f t="shared" si="9"/>
        <v>-0.14205629630117936</v>
      </c>
      <c r="D90" s="38">
        <f t="shared" si="10"/>
        <v>-0.010692302262480299</v>
      </c>
      <c r="E90" s="38">
        <f t="shared" si="11"/>
        <v>-0.47915699532779293</v>
      </c>
      <c r="F90" s="38">
        <f t="shared" si="5"/>
        <v>0.06568199701934953</v>
      </c>
      <c r="G90" s="38">
        <f t="shared" si="6"/>
        <v>-0.16855034951330677</v>
      </c>
      <c r="H90" s="38">
        <f t="shared" si="7"/>
        <v>-0.23423234653265632</v>
      </c>
    </row>
    <row r="91" spans="1:8" ht="11.25">
      <c r="A91" s="1">
        <f t="shared" si="12"/>
        <v>0.8736286025277903</v>
      </c>
      <c r="B91" s="38">
        <f t="shared" si="8"/>
        <v>3.3659432962811557</v>
      </c>
      <c r="C91" s="38">
        <f t="shared" si="9"/>
        <v>-0.13827583352540843</v>
      </c>
      <c r="D91" s="38">
        <f t="shared" si="10"/>
        <v>-0.009872490982290441</v>
      </c>
      <c r="E91" s="38">
        <f t="shared" si="11"/>
        <v>-0.46694072807084186</v>
      </c>
      <c r="F91" s="38">
        <f t="shared" si="5"/>
        <v>0.06420167127155899</v>
      </c>
      <c r="G91" s="38">
        <f t="shared" si="6"/>
        <v>-0.16433244727271673</v>
      </c>
      <c r="H91" s="38">
        <f t="shared" si="7"/>
        <v>-0.22853411854427572</v>
      </c>
    </row>
    <row r="92" spans="1:8" ht="11.25">
      <c r="A92" s="1">
        <f t="shared" si="12"/>
        <v>0.8978960637091178</v>
      </c>
      <c r="B92" s="38">
        <f t="shared" si="8"/>
        <v>3.4594417211778548</v>
      </c>
      <c r="C92" s="38">
        <f t="shared" si="9"/>
        <v>-0.13468751484218988</v>
      </c>
      <c r="D92" s="38">
        <f t="shared" si="10"/>
        <v>-0.009133364670538048</v>
      </c>
      <c r="E92" s="38">
        <f t="shared" si="11"/>
        <v>-0.4553063416818408</v>
      </c>
      <c r="F92" s="38">
        <f t="shared" si="5"/>
        <v>0.06277707508582592</v>
      </c>
      <c r="G92" s="38">
        <f t="shared" si="6"/>
        <v>-0.16030941341982546</v>
      </c>
      <c r="H92" s="38">
        <f t="shared" si="7"/>
        <v>-0.22308648850565138</v>
      </c>
    </row>
    <row r="93" spans="1:8" ht="11.25">
      <c r="A93" s="1">
        <f t="shared" si="12"/>
        <v>0.9221635248904453</v>
      </c>
      <c r="B93" s="38">
        <f t="shared" si="8"/>
        <v>3.5529401460745533</v>
      </c>
      <c r="C93" s="38">
        <f t="shared" si="9"/>
        <v>-0.13127732765056171</v>
      </c>
      <c r="D93" s="38">
        <f t="shared" si="10"/>
        <v>-0.008465355033532702</v>
      </c>
      <c r="E93" s="38">
        <f t="shared" si="11"/>
        <v>-0.4442150851408174</v>
      </c>
      <c r="F93" s="38">
        <f t="shared" si="5"/>
        <v>0.06140598630851451</v>
      </c>
      <c r="G93" s="38">
        <f t="shared" si="6"/>
        <v>-0.15646887874512785</v>
      </c>
      <c r="H93" s="38">
        <f t="shared" si="7"/>
        <v>-0.21787486505364237</v>
      </c>
    </row>
    <row r="94" spans="1:8" ht="11.25">
      <c r="A94" s="1">
        <f t="shared" si="12"/>
        <v>0.9464309860717728</v>
      </c>
      <c r="B94" s="38">
        <f t="shared" si="8"/>
        <v>3.646438570971252</v>
      </c>
      <c r="C94" s="38">
        <f t="shared" si="9"/>
        <v>-0.12803256428848261</v>
      </c>
      <c r="D94" s="38">
        <f t="shared" si="10"/>
        <v>-0.007860207716276693</v>
      </c>
      <c r="E94" s="38">
        <f t="shared" si="11"/>
        <v>-0.4336313932784921</v>
      </c>
      <c r="F94" s="38">
        <f t="shared" si="5"/>
        <v>0.06008617828610296</v>
      </c>
      <c r="G94" s="38">
        <f t="shared" si="6"/>
        <v>-0.15279941449500473</v>
      </c>
      <c r="H94" s="38">
        <f t="shared" si="7"/>
        <v>-0.2128855927811077</v>
      </c>
    </row>
    <row r="95" spans="1:8" ht="11.25">
      <c r="A95" s="1">
        <f t="shared" si="12"/>
        <v>0.9706984472531003</v>
      </c>
      <c r="B95" s="38">
        <f t="shared" si="8"/>
        <v>3.739936995867951</v>
      </c>
      <c r="C95" s="38">
        <f t="shared" si="9"/>
        <v>-0.12494167644709793</v>
      </c>
      <c r="D95" s="38">
        <f t="shared" si="10"/>
        <v>-0.007310778991611662</v>
      </c>
      <c r="E95" s="38">
        <f t="shared" si="11"/>
        <v>-0.42352258806734683</v>
      </c>
      <c r="F95" s="38">
        <f t="shared" si="5"/>
        <v>0.058815448727743136</v>
      </c>
      <c r="G95" s="38">
        <f t="shared" si="6"/>
        <v>-0.14929045581012446</v>
      </c>
      <c r="H95" s="38">
        <f t="shared" si="7"/>
        <v>-0.2081059045378676</v>
      </c>
    </row>
    <row r="96" spans="1:8" ht="11.25">
      <c r="A96" s="1">
        <f t="shared" si="12"/>
        <v>0.9949659084344278</v>
      </c>
      <c r="B96" s="38">
        <f t="shared" si="8"/>
        <v>3.8334354207646495</v>
      </c>
      <c r="C96" s="38">
        <f t="shared" si="9"/>
        <v>-0.12199414826841329</v>
      </c>
      <c r="D96" s="38">
        <f t="shared" si="10"/>
        <v>-0.0068108671979063605</v>
      </c>
      <c r="E96" s="38">
        <f t="shared" si="11"/>
        <v>-0.41385860958972465</v>
      </c>
      <c r="F96" s="38">
        <f t="shared" si="5"/>
        <v>0.057591640535253466</v>
      </c>
      <c r="G96" s="38">
        <f t="shared" si="6"/>
        <v>-0.1459322306606557</v>
      </c>
      <c r="H96" s="38">
        <f t="shared" si="7"/>
        <v>-0.20352387119590915</v>
      </c>
    </row>
    <row r="97" spans="1:8" ht="11.25">
      <c r="A97" s="1">
        <f t="shared" si="12"/>
        <v>1.0192333696157554</v>
      </c>
      <c r="B97" s="38">
        <f t="shared" si="8"/>
        <v>3.9269338456613485</v>
      </c>
      <c r="C97" s="38">
        <f t="shared" si="9"/>
        <v>-0.11918038544605228</v>
      </c>
      <c r="D97" s="38">
        <f t="shared" si="10"/>
        <v>-0.006355072464488558</v>
      </c>
      <c r="E97" s="38">
        <f t="shared" si="11"/>
        <v>-0.40461177390120967</v>
      </c>
      <c r="F97" s="38">
        <f t="shared" si="5"/>
        <v>0.05641265649078186</v>
      </c>
      <c r="G97" s="38">
        <f t="shared" si="6"/>
        <v>-0.14271569422757868</v>
      </c>
      <c r="H97" s="38">
        <f t="shared" si="7"/>
        <v>-0.19912835071836055</v>
      </c>
    </row>
    <row r="98" spans="1:8" ht="11.25">
      <c r="A98" s="1">
        <f t="shared" si="12"/>
        <v>1.043500830797083</v>
      </c>
      <c r="B98" s="38">
        <f t="shared" si="8"/>
        <v>4.0204322705580475</v>
      </c>
      <c r="C98" s="38">
        <f t="shared" si="9"/>
        <v>-0.116491618069357</v>
      </c>
      <c r="D98" s="38">
        <f t="shared" si="10"/>
        <v>-0.005938679555150176</v>
      </c>
      <c r="E98" s="38">
        <f t="shared" si="11"/>
        <v>-0.39575655516677033</v>
      </c>
      <c r="F98" s="38">
        <f t="shared" si="5"/>
        <v>0.05527646925710341</v>
      </c>
      <c r="G98" s="38">
        <f t="shared" si="6"/>
        <v>-0.13963246854870667</v>
      </c>
      <c r="H98" s="38">
        <f t="shared" si="7"/>
        <v>-0.1949089378058101</v>
      </c>
    </row>
    <row r="99" spans="1:8" ht="11.25">
      <c r="A99" s="1">
        <f t="shared" si="12"/>
        <v>1.0677682919784106</v>
      </c>
      <c r="B99" s="38">
        <f t="shared" si="8"/>
        <v>4.113930695454747</v>
      </c>
      <c r="C99" s="38">
        <f t="shared" si="9"/>
        <v>-0.11391981530076072</v>
      </c>
      <c r="D99" s="38">
        <f t="shared" si="10"/>
        <v>-0.0055575596765436355</v>
      </c>
      <c r="E99" s="38">
        <f t="shared" si="11"/>
        <v>-0.387269389636426</v>
      </c>
      <c r="F99" s="38">
        <f t="shared" si="5"/>
        <v>0.05418112781210854</v>
      </c>
      <c r="G99" s="38">
        <f t="shared" si="6"/>
        <v>-0.13667478716783263</v>
      </c>
      <c r="H99" s="38">
        <f t="shared" si="7"/>
        <v>-0.19085591497994117</v>
      </c>
    </row>
    <row r="100" spans="1:8" ht="11.25">
      <c r="A100" s="1">
        <f t="shared" si="12"/>
        <v>1.0920357531597382</v>
      </c>
      <c r="B100" s="38">
        <f t="shared" si="8"/>
        <v>4.2074291203514464</v>
      </c>
      <c r="C100" s="38">
        <f t="shared" si="9"/>
        <v>-0.11145761026779041</v>
      </c>
      <c r="D100" s="38">
        <f t="shared" si="10"/>
        <v>-0.005208087901805469</v>
      </c>
      <c r="E100" s="38">
        <f t="shared" si="11"/>
        <v>-0.37912849922850456</v>
      </c>
      <c r="F100" s="38">
        <f aca="true" t="shared" si="13" ref="F100:F105">(D100-C100)/2</f>
        <v>0.053124761182992475</v>
      </c>
      <c r="G100" s="38">
        <f t="shared" si="6"/>
        <v>-0.13383544448035706</v>
      </c>
      <c r="H100" s="38">
        <f t="shared" si="7"/>
        <v>-0.18696020566334953</v>
      </c>
    </row>
    <row r="101" spans="1:8" ht="11.25">
      <c r="A101" s="1">
        <f t="shared" si="12"/>
        <v>1.1163032143410658</v>
      </c>
      <c r="B101" s="38">
        <f t="shared" si="8"/>
        <v>4.300927545248145</v>
      </c>
      <c r="C101" s="38">
        <f t="shared" si="9"/>
        <v>-0.10909823379449098</v>
      </c>
      <c r="D101" s="38">
        <f t="shared" si="10"/>
        <v>-0.004887073497656656</v>
      </c>
      <c r="E101" s="38">
        <f t="shared" si="11"/>
        <v>-0.3713137326902441</v>
      </c>
      <c r="F101" s="38">
        <f t="shared" si="13"/>
        <v>0.05210558014841716</v>
      </c>
      <c r="G101" s="38">
        <f t="shared" si="6"/>
        <v>-0.13110774944787656</v>
      </c>
      <c r="H101" s="38">
        <f t="shared" si="7"/>
        <v>-0.18321332959629372</v>
      </c>
    </row>
    <row r="102" spans="1:8" ht="11.25">
      <c r="A102" s="1">
        <f t="shared" si="12"/>
        <v>1.1405706755223934</v>
      </c>
      <c r="B102" s="38">
        <f t="shared" si="8"/>
        <v>4.3944259701448445</v>
      </c>
      <c r="C102" s="38">
        <f t="shared" si="9"/>
        <v>-0.10683545580093437</v>
      </c>
      <c r="D102" s="38">
        <f t="shared" si="10"/>
        <v>-0.004591700951161867</v>
      </c>
      <c r="E102" s="38">
        <f t="shared" si="11"/>
        <v>-0.3638064225003347</v>
      </c>
      <c r="F102" s="38">
        <f t="shared" si="13"/>
        <v>0.051121877424886254</v>
      </c>
      <c r="G102" s="38">
        <f t="shared" si="6"/>
        <v>-0.12848548334970017</v>
      </c>
      <c r="H102" s="38">
        <f t="shared" si="7"/>
        <v>-0.17960736077458642</v>
      </c>
    </row>
    <row r="103" spans="1:8" ht="11.25">
      <c r="A103" s="1">
        <f t="shared" si="12"/>
        <v>1.164838136703721</v>
      </c>
      <c r="B103" s="38">
        <f t="shared" si="8"/>
        <v>4.487924395041544</v>
      </c>
      <c r="C103" s="38">
        <f t="shared" si="9"/>
        <v>-0.10466353337061733</v>
      </c>
      <c r="D103" s="38">
        <f t="shared" si="10"/>
        <v>-0.004319479899025615</v>
      </c>
      <c r="E103" s="38">
        <f t="shared" si="11"/>
        <v>-0.3565892558617229</v>
      </c>
      <c r="F103" s="38">
        <f t="shared" si="13"/>
        <v>0.050172026735795856</v>
      </c>
      <c r="G103" s="38">
        <f t="shared" si="6"/>
        <v>-0.12596286124555278</v>
      </c>
      <c r="H103" s="38">
        <f t="shared" si="7"/>
        <v>-0.17613488798134866</v>
      </c>
    </row>
    <row r="104" spans="1:8" ht="11.25">
      <c r="A104" s="1">
        <f t="shared" si="12"/>
        <v>1.1891055978850487</v>
      </c>
      <c r="B104" s="38">
        <f t="shared" si="8"/>
        <v>4.5814228199382425</v>
      </c>
      <c r="C104" s="38">
        <f t="shared" si="9"/>
        <v>-0.10257716462956841</v>
      </c>
      <c r="D104" s="38">
        <f t="shared" si="10"/>
        <v>-0.0040682024882382865</v>
      </c>
      <c r="E104" s="38">
        <f t="shared" si="11"/>
        <v>-0.3496461583033754</v>
      </c>
      <c r="F104" s="38">
        <f t="shared" si="13"/>
        <v>0.04925448107066506</v>
      </c>
      <c r="G104" s="38">
        <f t="shared" si="6"/>
        <v>-0.12353449683690351</v>
      </c>
      <c r="H104" s="38">
        <f t="shared" si="7"/>
        <v>-0.17278897790756856</v>
      </c>
    </row>
    <row r="105" spans="1:8" ht="11.25">
      <c r="A105" s="1">
        <f t="shared" si="12"/>
        <v>1.2133730590663763</v>
      </c>
      <c r="B105" s="38">
        <f t="shared" si="8"/>
        <v>4.674921244834942</v>
      </c>
      <c r="C105" s="38">
        <f t="shared" si="9"/>
        <v>-0.10057144770250101</v>
      </c>
      <c r="D105" s="38">
        <f t="shared" si="10"/>
        <v>-0.00383590696006588</v>
      </c>
      <c r="E105" s="38">
        <f t="shared" si="11"/>
        <v>-0.34296218856579874</v>
      </c>
      <c r="F105" s="38">
        <f t="shared" si="13"/>
        <v>0.04836777037121757</v>
      </c>
      <c r="G105" s="38">
        <f t="shared" si="6"/>
        <v>-0.12119537043164887</v>
      </c>
      <c r="H105" s="38">
        <f t="shared" si="7"/>
        <v>-0.16956314080286644</v>
      </c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</sheetData>
  <sheetProtection password="E53C"/>
  <mergeCells count="5">
    <mergeCell ref="A22:B22"/>
    <mergeCell ref="A4:B4"/>
    <mergeCell ref="A1:B1"/>
    <mergeCell ref="A2:B2"/>
    <mergeCell ref="A3:B3"/>
  </mergeCells>
  <printOptions gridLines="1" headings="1"/>
  <pageMargins left="0.75" right="0.75" top="1" bottom="1" header="0.5" footer="0.5"/>
  <pageSetup orientation="portrait" r:id="rId5"/>
  <headerFooter alignWithMargins="0">
    <oddHeader>&amp;C&amp;f</oddHeader>
    <oddFooter>&amp;CPage &amp;p</oddFooter>
  </headerFooter>
  <drawing r:id="rId4"/>
  <legacyDrawing r:id="rId3"/>
  <oleObjects>
    <oleObject progId="Equation.DSMT4" shapeId="13696881" r:id="rId1"/>
    <oleObject progId="Equation.DSMT4" shapeId="110108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 Slocum</cp:lastModifiedBy>
  <cp:lastPrinted>2004-05-24T15:45:24Z</cp:lastPrinted>
  <dcterms:created xsi:type="dcterms:W3CDTF">2004-01-23T17:18:10Z</dcterms:created>
  <dcterms:modified xsi:type="dcterms:W3CDTF">2005-01-31T15:54:17Z</dcterms:modified>
  <cp:category/>
  <cp:version/>
  <cp:contentType/>
  <cp:contentStatus/>
</cp:coreProperties>
</file>