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448" activeTab="0"/>
  </bookViews>
  <sheets>
    <sheet name="Sheet1" sheetId="1" r:id="rId1"/>
    <sheet name="Ref only" sheetId="2" r:id="rId2"/>
  </sheets>
  <definedNames>
    <definedName name="Abh">'Ref only'!$C$7</definedName>
    <definedName name="alpha">'Sheet1'!$C$23</definedName>
    <definedName name="Ascf">'Ref only'!$C$6</definedName>
    <definedName name="Db">'Sheet1'!$C$16</definedName>
    <definedName name="Dbolthead">'Sheet1'!$C$19</definedName>
    <definedName name="Dbore">'Sheet1'!$C$18</definedName>
    <definedName name="Dbr">'Sheet1'!$C$17</definedName>
    <definedName name="Dsc">'Ref only'!$C$5</definedName>
    <definedName name="Ebolt">'Sheet1'!$C$9</definedName>
    <definedName name="Eflange">'Sheet1'!$C$11</definedName>
    <definedName name="Fbolt">'Sheet1'!$C$40</definedName>
    <definedName name="Fboltleak">'Sheet1'!$C$41</definedName>
    <definedName name="Fboltmax">'Sheet1'!$C$38</definedName>
    <definedName name="Fbolttotal">'Sheet1'!$C$41</definedName>
    <definedName name="Fbreak">'Sheet1'!$C$42</definedName>
    <definedName name="Fjointmax">'Sheet1'!$C$42</definedName>
    <definedName name="Fleak">'Sheet1'!$C$39</definedName>
    <definedName name="Fpreload">'Sheet1'!$C$24</definedName>
    <definedName name="hbolthead">'Sheet1'!$C$21</definedName>
    <definedName name="hf_1">'Sheet1'!$C$13</definedName>
    <definedName name="hf_2">'Sheet1'!$C$14</definedName>
    <definedName name="hflange">'Sheet1'!$C$15</definedName>
    <definedName name="hnut">'Sheet1'!$C$20</definedName>
    <definedName name="kbolt">'Sheet1'!$C$31</definedName>
    <definedName name="kbolthead">'Sheet1'!$C$29</definedName>
    <definedName name="kboltshaft">'Sheet1'!$C$28</definedName>
    <definedName name="kflange">'Sheet1'!$C$34</definedName>
    <definedName name="kflangecomp">'Sheet1'!$C$32</definedName>
    <definedName name="kflangeshear">'Sheet1'!$C$33</definedName>
    <definedName name="kj">'Ref only'!$C$4</definedName>
    <definedName name="kjbh">'Ref only'!$C$8</definedName>
    <definedName name="kjff">'Ref only'!$C$9</definedName>
    <definedName name="kjoint">'Sheet1'!$C$36</definedName>
    <definedName name="Knut">'Sheet1'!$C$30</definedName>
    <definedName name="Lbolt">'Sheet1'!$C$22</definedName>
    <definedName name="N">'Sheet1'!$C$8</definedName>
    <definedName name="percentpreload">'Sheet1'!$C$26</definedName>
    <definedName name="SF">'Sheet1'!$C$46</definedName>
    <definedName name="Sigboltmax">'Sheet1'!$C$25</definedName>
    <definedName name="sigloadbolt">'Sheet1'!$C$44</definedName>
    <definedName name="sigpreloadbolt">'Sheet1'!$C$43</definedName>
    <definedName name="tbolthead">'Sheet1'!$C$21</definedName>
    <definedName name="vbolt">'Sheet1'!$C$10</definedName>
    <definedName name="vflange">'Sheet1'!$C$12</definedName>
  </definedNames>
  <calcPr fullCalcOnLoad="1"/>
</workbook>
</file>

<file path=xl/sharedStrings.xml><?xml version="1.0" encoding="utf-8"?>
<sst xmlns="http://schemas.openxmlformats.org/spreadsheetml/2006/main" count="103" uniqueCount="103">
  <si>
    <t>bolt diameter</t>
  </si>
  <si>
    <t>bolt clearance hole</t>
  </si>
  <si>
    <t>Db</t>
  </si>
  <si>
    <t>Dbore</t>
  </si>
  <si>
    <t>bolt head diameter</t>
  </si>
  <si>
    <t>Dbolthead</t>
  </si>
  <si>
    <t>hflange</t>
  </si>
  <si>
    <t>alpha</t>
  </si>
  <si>
    <t>cone angle</t>
  </si>
  <si>
    <t>Young's modulus of flange</t>
  </si>
  <si>
    <t>Eflange</t>
  </si>
  <si>
    <t>Ebolt</t>
  </si>
  <si>
    <t>Young's modulus of bolt</t>
  </si>
  <si>
    <t>vbolt</t>
  </si>
  <si>
    <t>Poisson ratio of bolt</t>
  </si>
  <si>
    <t>Poisson ratio of flange</t>
  </si>
  <si>
    <t>vflange</t>
  </si>
  <si>
    <t>hnut</t>
  </si>
  <si>
    <t>total resulting effective flange thickness</t>
  </si>
  <si>
    <t>nut thicknes (enter 0 if threaded into flange)</t>
  </si>
  <si>
    <t>hf_1</t>
  </si>
  <si>
    <t>hf_2</t>
  </si>
  <si>
    <t>upper flange thickness</t>
  </si>
  <si>
    <t>lower flange thickness</t>
  </si>
  <si>
    <t>Lbolt</t>
  </si>
  <si>
    <t>thicknes of bolthead</t>
  </si>
  <si>
    <t>kbolthead</t>
  </si>
  <si>
    <t>kboltshaft</t>
  </si>
  <si>
    <t>kflange</t>
  </si>
  <si>
    <t>kbolt</t>
  </si>
  <si>
    <t>kf_kb</t>
  </si>
  <si>
    <t>Ratio flange-to-bolt stiffness</t>
  </si>
  <si>
    <t>Fpreload</t>
  </si>
  <si>
    <t>Sigboltmax</t>
  </si>
  <si>
    <t>Maximum bolt stress</t>
  </si>
  <si>
    <t>sigpreloadbolt</t>
  </si>
  <si>
    <t>Dbr</t>
  </si>
  <si>
    <t>bolt thread root diameter</t>
  </si>
  <si>
    <t>Applied load (N)</t>
  </si>
  <si>
    <t>deflection under bolt head (mm)</t>
  </si>
  <si>
    <t>deflection from threaded region (mm)</t>
  </si>
  <si>
    <t>Total deflection (mm)</t>
  </si>
  <si>
    <t>Stiffness (N/mm)</t>
  </si>
  <si>
    <t>FEA/Analytical</t>
  </si>
  <si>
    <t>kflangecomp</t>
  </si>
  <si>
    <t>kflangeshear</t>
  </si>
  <si>
    <t>Joint stiffness</t>
  </si>
  <si>
    <t>kj</t>
  </si>
  <si>
    <t>Joint stiffness pressure (N/mm/mm^2)</t>
  </si>
  <si>
    <t>Joint stiffness under bolt head</t>
  </si>
  <si>
    <t>Joint stiffness flange-to-flange</t>
  </si>
  <si>
    <t>Diameter of stress cone at center of flange (joint)</t>
  </si>
  <si>
    <t>Dsc</t>
  </si>
  <si>
    <t>Ascf</t>
  </si>
  <si>
    <t>Area of stress cone at flange joint</t>
  </si>
  <si>
    <t>Abh</t>
  </si>
  <si>
    <t>Area under bolt head</t>
  </si>
  <si>
    <t>kjbh</t>
  </si>
  <si>
    <t>kjff</t>
  </si>
  <si>
    <t>Ref only</t>
  </si>
  <si>
    <t>To determine properties of a joint preload by bolts</t>
  </si>
  <si>
    <t>By Alex Slocum, 6/6/2004, last modified 6/6/2004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</si>
  <si>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 xml:space="preserve">RED, </t>
    </r>
    <r>
      <rPr>
        <b/>
        <sz val="10"/>
        <rFont val="Times New Roman"/>
        <family val="1"/>
      </rPr>
      <t>All units in N, mm, degrees</t>
    </r>
  </si>
  <si>
    <t>hbolthead</t>
  </si>
  <si>
    <t>Inputs</t>
  </si>
  <si>
    <t>Shear stiffness of top flange in series with bottom flange</t>
  </si>
  <si>
    <t>Compressive stiffness of top flange in series with bottom flange</t>
  </si>
  <si>
    <t>Fleak</t>
  </si>
  <si>
    <t>bolt length assumed equal total effective flange thickness + hnut</t>
  </si>
  <si>
    <t>Bolts_preload.xls</t>
  </si>
  <si>
    <t>knut</t>
  </si>
  <si>
    <t>kjoint</t>
  </si>
  <si>
    <t>total joint stiffness</t>
  </si>
  <si>
    <t>Fbolt</t>
  </si>
  <si>
    <t>Fbolttotal</t>
  </si>
  <si>
    <t>Total force on a bolt when the joint starts to leak</t>
  </si>
  <si>
    <t>Stiffness results</t>
  </si>
  <si>
    <t>Force results</t>
  </si>
  <si>
    <t>percentpreload</t>
  </si>
  <si>
    <t>percentmaxload</t>
  </si>
  <si>
    <t>% of max stress used by bolt preload</t>
  </si>
  <si>
    <t>% of max stress used by total bolt load</t>
  </si>
  <si>
    <t>sigloadbolt</t>
  </si>
  <si>
    <r>
      <t>FEA results compared to analysis (60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stress cones)</t>
    </r>
  </si>
  <si>
    <t>N</t>
  </si>
  <si>
    <t>Number of bolts</t>
  </si>
  <si>
    <t>Tensile stiffness of a bolt shaft</t>
  </si>
  <si>
    <t>Shear stiffness of a bolt head</t>
  </si>
  <si>
    <t>Shear stiffness of a nut</t>
  </si>
  <si>
    <t>Total stiffness of all bolts</t>
  </si>
  <si>
    <t>Total stiffness of all flange elements under all bolts</t>
  </si>
  <si>
    <t>Preload force applied to a bolt</t>
  </si>
  <si>
    <t>Total force that can be applied to joint till joint preload is lost</t>
  </si>
  <si>
    <t>Force added to each bolt preload force by Fleak</t>
  </si>
  <si>
    <t>Force on joint at which bolts break</t>
  </si>
  <si>
    <t>Preload stress in a bolt (based on thread root diameter)</t>
  </si>
  <si>
    <t>Total stress in a bolt when joint begins to leak</t>
  </si>
  <si>
    <t>SF</t>
  </si>
  <si>
    <t>Fboltmax</t>
  </si>
  <si>
    <t>Fjointmax</t>
  </si>
  <si>
    <t>Maximum allowable force on a bolt</t>
  </si>
  <si>
    <t>Fbreak/Fleak: resulting safety factor</t>
  </si>
  <si>
    <t>Equations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</si>
</sst>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2" borderId="0" xfId="0" applyAlignment="1">
      <alignment/>
    </xf>
    <xf numFmtId="0" fontId="1" fillId="2" borderId="0" xfId="0" applyFont="1" applyAlignment="1">
      <alignment/>
    </xf>
    <xf numFmtId="1" fontId="3" fillId="2" borderId="0" xfId="0" applyNumberFormat="1" applyFont="1" applyAlignment="1">
      <alignment/>
    </xf>
    <xf numFmtId="1" fontId="2" fillId="2" borderId="0" xfId="0" applyNumberFormat="1" applyFont="1" applyAlignment="1">
      <alignment/>
    </xf>
    <xf numFmtId="0" fontId="1" fillId="0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1" fontId="3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9" fontId="3" fillId="3" borderId="1" xfId="0" applyNumberFormat="1" applyFont="1" applyFill="1" applyBorder="1" applyAlignment="1">
      <alignment/>
    </xf>
    <xf numFmtId="169" fontId="3" fillId="3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11" fontId="2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8" fillId="6" borderId="11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Relationship Id="rId3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2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4.00390625" style="1" customWidth="1"/>
    <col min="2" max="2" width="30.140625" style="1" customWidth="1"/>
    <col min="3" max="3" width="10.7109375" style="1" customWidth="1"/>
    <col min="4" max="4" width="49.7109375" style="1" customWidth="1"/>
    <col min="5" max="5" width="9.140625" style="1" customWidth="1"/>
    <col min="6" max="6" width="31.28125" style="1" customWidth="1"/>
    <col min="7" max="7" width="15.00390625" style="1" customWidth="1"/>
    <col min="8" max="16384" width="9.140625" style="1" customWidth="1"/>
  </cols>
  <sheetData>
    <row r="1" ht="13.5" thickBot="1"/>
    <row r="2" spans="2:4" ht="13.5">
      <c r="B2" s="16" t="s">
        <v>69</v>
      </c>
      <c r="C2" s="17"/>
      <c r="D2" s="18"/>
    </row>
    <row r="3" spans="2:4" ht="12.75">
      <c r="B3" s="19" t="s">
        <v>60</v>
      </c>
      <c r="C3" s="20"/>
      <c r="D3" s="21"/>
    </row>
    <row r="4" spans="2:4" ht="12.75">
      <c r="B4" s="19" t="s">
        <v>61</v>
      </c>
      <c r="C4" s="20"/>
      <c r="D4" s="21"/>
    </row>
    <row r="5" spans="2:4" ht="13.5" thickBot="1">
      <c r="B5" s="32" t="s">
        <v>62</v>
      </c>
      <c r="C5" s="33"/>
      <c r="D5" s="34"/>
    </row>
    <row r="6" spans="2:4" ht="12.75">
      <c r="B6" s="31"/>
      <c r="C6" s="31"/>
      <c r="D6" s="31"/>
    </row>
    <row r="7" spans="2:6" ht="12.75">
      <c r="B7" s="36" t="s">
        <v>64</v>
      </c>
      <c r="C7" s="37"/>
      <c r="D7" s="38"/>
      <c r="F7"/>
    </row>
    <row r="8" spans="2:4" s="35" customFormat="1" ht="12.75">
      <c r="B8" s="22" t="s">
        <v>84</v>
      </c>
      <c r="C8" s="23">
        <v>12</v>
      </c>
      <c r="D8" s="24" t="s">
        <v>85</v>
      </c>
    </row>
    <row r="9" spans="2:4" ht="12.75">
      <c r="B9" s="22" t="s">
        <v>11</v>
      </c>
      <c r="C9" s="25">
        <v>200000</v>
      </c>
      <c r="D9" s="26" t="s">
        <v>12</v>
      </c>
    </row>
    <row r="10" spans="2:4" ht="12.75">
      <c r="B10" s="22" t="s">
        <v>13</v>
      </c>
      <c r="C10" s="27">
        <v>0.29</v>
      </c>
      <c r="D10" s="26" t="s">
        <v>14</v>
      </c>
    </row>
    <row r="11" spans="2:4" ht="12.75">
      <c r="B11" s="22" t="s">
        <v>10</v>
      </c>
      <c r="C11" s="25">
        <v>200000</v>
      </c>
      <c r="D11" s="26" t="s">
        <v>9</v>
      </c>
    </row>
    <row r="12" spans="2:4" ht="12.75">
      <c r="B12" s="22" t="s">
        <v>16</v>
      </c>
      <c r="C12" s="27">
        <v>0.29</v>
      </c>
      <c r="D12" s="26" t="s">
        <v>15</v>
      </c>
    </row>
    <row r="13" spans="2:4" ht="12.75">
      <c r="B13" s="22" t="s">
        <v>20</v>
      </c>
      <c r="C13" s="28">
        <v>10</v>
      </c>
      <c r="D13" s="26" t="s">
        <v>22</v>
      </c>
    </row>
    <row r="14" spans="2:4" ht="12.75">
      <c r="B14" s="22" t="s">
        <v>21</v>
      </c>
      <c r="C14" s="27">
        <f>hf_1</f>
        <v>10</v>
      </c>
      <c r="D14" s="26" t="s">
        <v>23</v>
      </c>
    </row>
    <row r="15" spans="2:4" ht="12.75">
      <c r="B15" s="22" t="s">
        <v>6</v>
      </c>
      <c r="C15" s="29">
        <f>hf_1+hf_2</f>
        <v>20</v>
      </c>
      <c r="D15" s="26" t="s">
        <v>18</v>
      </c>
    </row>
    <row r="16" spans="2:4" ht="12.75">
      <c r="B16" s="22" t="s">
        <v>2</v>
      </c>
      <c r="C16" s="30">
        <v>6</v>
      </c>
      <c r="D16" s="26" t="s">
        <v>0</v>
      </c>
    </row>
    <row r="17" spans="2:4" ht="12.75">
      <c r="B17" s="22" t="s">
        <v>36</v>
      </c>
      <c r="C17" s="30">
        <v>5</v>
      </c>
      <c r="D17" s="26" t="s">
        <v>37</v>
      </c>
    </row>
    <row r="18" spans="2:4" ht="12.75">
      <c r="B18" s="22" t="s">
        <v>3</v>
      </c>
      <c r="C18" s="27">
        <v>6.5</v>
      </c>
      <c r="D18" s="26" t="s">
        <v>1</v>
      </c>
    </row>
    <row r="19" spans="2:4" ht="12.75">
      <c r="B19" s="22" t="s">
        <v>5</v>
      </c>
      <c r="C19" s="30">
        <v>9</v>
      </c>
      <c r="D19" s="26" t="s">
        <v>4</v>
      </c>
    </row>
    <row r="20" spans="2:4" ht="12.75">
      <c r="B20" s="22" t="s">
        <v>17</v>
      </c>
      <c r="C20" s="27">
        <v>5</v>
      </c>
      <c r="D20" s="26" t="s">
        <v>19</v>
      </c>
    </row>
    <row r="21" spans="2:4" ht="12.75">
      <c r="B21" s="22" t="s">
        <v>63</v>
      </c>
      <c r="C21" s="27">
        <v>6</v>
      </c>
      <c r="D21" s="26" t="s">
        <v>25</v>
      </c>
    </row>
    <row r="22" spans="2:4" ht="12.75">
      <c r="B22" s="22" t="s">
        <v>24</v>
      </c>
      <c r="C22" s="29">
        <f>hflange+hnut</f>
        <v>25</v>
      </c>
      <c r="D22" s="26" t="s">
        <v>68</v>
      </c>
    </row>
    <row r="23" spans="2:4" ht="12.75">
      <c r="B23" s="22" t="s">
        <v>7</v>
      </c>
      <c r="C23" s="28">
        <v>45</v>
      </c>
      <c r="D23" s="26" t="s">
        <v>8</v>
      </c>
    </row>
    <row r="24" spans="2:4" ht="12.75">
      <c r="B24" s="22" t="s">
        <v>32</v>
      </c>
      <c r="C24" s="28">
        <f>percentpreload*Fboltmax</f>
        <v>5497.787143782138</v>
      </c>
      <c r="D24" s="26" t="s">
        <v>91</v>
      </c>
    </row>
    <row r="25" spans="2:4" ht="12.75">
      <c r="B25" s="22" t="s">
        <v>33</v>
      </c>
      <c r="C25" s="28">
        <v>400</v>
      </c>
      <c r="D25" s="26" t="s">
        <v>34</v>
      </c>
    </row>
    <row r="26" spans="2:4" ht="12.75">
      <c r="B26" s="4" t="s">
        <v>78</v>
      </c>
      <c r="C26" s="14">
        <v>0.7</v>
      </c>
      <c r="D26" s="15" t="s">
        <v>80</v>
      </c>
    </row>
    <row r="27" spans="2:4" ht="12.75">
      <c r="B27" s="36" t="s">
        <v>76</v>
      </c>
      <c r="C27" s="37"/>
      <c r="D27" s="38"/>
    </row>
    <row r="28" spans="2:7" ht="15">
      <c r="B28" s="5" t="s">
        <v>27</v>
      </c>
      <c r="C28" s="6">
        <f>PI()*(Db/2)^2*Ebolt/Lbolt</f>
        <v>226194.6710584651</v>
      </c>
      <c r="D28" s="7" t="s">
        <v>86</v>
      </c>
      <c r="F28" s="39" t="s">
        <v>83</v>
      </c>
      <c r="G28" s="40"/>
    </row>
    <row r="29" spans="2:7" ht="12.75">
      <c r="B29" s="5" t="s">
        <v>26</v>
      </c>
      <c r="C29" s="6">
        <f>tbolthead*PI()*Ebolt/((1+vbolt)*LN(2))</f>
        <v>4216148.9691415755</v>
      </c>
      <c r="D29" s="7" t="s">
        <v>87</v>
      </c>
      <c r="F29" s="26" t="s">
        <v>38</v>
      </c>
      <c r="G29" s="27">
        <v>4000</v>
      </c>
    </row>
    <row r="30" spans="2:7" ht="12.75">
      <c r="B30" s="5" t="s">
        <v>70</v>
      </c>
      <c r="C30" s="6">
        <f>hnut*PI()*Ebolt/((1+vbolt)*LN(2))</f>
        <v>3513457.474284646</v>
      </c>
      <c r="D30" s="7" t="s">
        <v>88</v>
      </c>
      <c r="F30" s="26" t="s">
        <v>39</v>
      </c>
      <c r="G30" s="41">
        <v>0.00281</v>
      </c>
    </row>
    <row r="31" spans="2:7" ht="12.75">
      <c r="B31" s="5" t="s">
        <v>29</v>
      </c>
      <c r="C31" s="6">
        <f>N/(1/kboltshaft+1/kbolthead+1/Knut)</f>
        <v>2427786.58272386</v>
      </c>
      <c r="D31" s="7" t="s">
        <v>89</v>
      </c>
      <c r="F31" s="26" t="s">
        <v>40</v>
      </c>
      <c r="G31" s="41">
        <v>0.0021</v>
      </c>
    </row>
    <row r="32" spans="2:7" ht="12.75">
      <c r="B32" s="5" t="s">
        <v>44</v>
      </c>
      <c r="C32" s="6">
        <f>(1/2)*PI()*Eflange*((Dbolthead*(Dbolthead+2*(hflange/2)*COS(alpha*PI()/180)))-Dbore^2)/(4*(hflange/2))</f>
        <v>1303990.4494021435</v>
      </c>
      <c r="D32" s="7" t="s">
        <v>66</v>
      </c>
      <c r="F32" s="26" t="s">
        <v>41</v>
      </c>
      <c r="G32" s="41">
        <f>G30+G31</f>
        <v>0.0049099999999999994</v>
      </c>
    </row>
    <row r="33" spans="2:7" ht="12.75">
      <c r="B33" s="5" t="s">
        <v>45</v>
      </c>
      <c r="C33" s="6">
        <f>(1/2)*(hflange/2)*PI()*Eflange/((1+vflange)*LN(2))</f>
        <v>3513457.474284646</v>
      </c>
      <c r="D33" s="7" t="s">
        <v>65</v>
      </c>
      <c r="F33" s="26" t="s">
        <v>42</v>
      </c>
      <c r="G33" s="28">
        <f>G29/G32</f>
        <v>814663.9511201631</v>
      </c>
    </row>
    <row r="34" spans="2:7" ht="12.75">
      <c r="B34" s="5" t="s">
        <v>28</v>
      </c>
      <c r="C34" s="6">
        <f>N/(1/kflangecomp+1/kflangeshear)</f>
        <v>11412303.933759661</v>
      </c>
      <c r="D34" s="7" t="s">
        <v>90</v>
      </c>
      <c r="F34" s="26" t="s">
        <v>43</v>
      </c>
      <c r="G34" s="42">
        <f>G33/(kflange/N)</f>
        <v>0.8566164615124625</v>
      </c>
    </row>
    <row r="35" spans="2:4" ht="12.75">
      <c r="B35" s="5" t="s">
        <v>30</v>
      </c>
      <c r="C35" s="8">
        <f>kflange/kbolt</f>
        <v>4.700703107501155</v>
      </c>
      <c r="D35" s="7" t="s">
        <v>31</v>
      </c>
    </row>
    <row r="36" spans="2:6" ht="12.75">
      <c r="B36" s="5" t="s">
        <v>71</v>
      </c>
      <c r="C36" s="6">
        <f>kbolt+kflange</f>
        <v>13840090.516483521</v>
      </c>
      <c r="D36" s="7" t="s">
        <v>72</v>
      </c>
      <c r="F36" s="2"/>
    </row>
    <row r="37" spans="2:4" ht="12.75">
      <c r="B37" s="36" t="s">
        <v>77</v>
      </c>
      <c r="C37" s="37"/>
      <c r="D37" s="38"/>
    </row>
    <row r="38" spans="2:4" ht="12.75">
      <c r="B38" s="5" t="s">
        <v>98</v>
      </c>
      <c r="C38" s="9">
        <f>Sigboltmax*(PI()*(Dbr)^2/4)</f>
        <v>7853.981633974483</v>
      </c>
      <c r="D38" s="10" t="s">
        <v>100</v>
      </c>
    </row>
    <row r="39" spans="2:4" ht="12.75">
      <c r="B39" s="5" t="s">
        <v>67</v>
      </c>
      <c r="C39" s="6">
        <f>N*Fpreload*kjoint/kflange</f>
        <v>80008.24950189058</v>
      </c>
      <c r="D39" s="7" t="s">
        <v>92</v>
      </c>
    </row>
    <row r="40" spans="2:4" ht="12.75">
      <c r="B40" s="5" t="s">
        <v>73</v>
      </c>
      <c r="C40" s="6">
        <f>Fpreload*kbolt/kflange</f>
        <v>1169.5669813754103</v>
      </c>
      <c r="D40" s="7" t="s">
        <v>93</v>
      </c>
    </row>
    <row r="41" spans="2:4" ht="12.75">
      <c r="B41" s="5" t="s">
        <v>74</v>
      </c>
      <c r="C41" s="6">
        <f>Fpreload+Fbolt</f>
        <v>6667.354125157548</v>
      </c>
      <c r="D41" s="7" t="s">
        <v>75</v>
      </c>
    </row>
    <row r="42" spans="2:6" ht="12.75">
      <c r="B42" s="5" t="s">
        <v>99</v>
      </c>
      <c r="C42" s="6">
        <f>N*Sigboltmax*(PI()*(Dbr)^2/4)</f>
        <v>94247.7796076938</v>
      </c>
      <c r="D42" s="7" t="s">
        <v>94</v>
      </c>
      <c r="F42" s="2"/>
    </row>
    <row r="43" spans="2:6" ht="12.75">
      <c r="B43" s="5" t="s">
        <v>35</v>
      </c>
      <c r="C43" s="6">
        <f>Fpreload/(PI()*(Dbr)^2/4)</f>
        <v>280</v>
      </c>
      <c r="D43" s="7" t="s">
        <v>95</v>
      </c>
      <c r="F43" s="2"/>
    </row>
    <row r="44" spans="2:4" ht="12.75">
      <c r="B44" s="5" t="s">
        <v>82</v>
      </c>
      <c r="C44" s="6">
        <f>Fbolttotal/(PI()*(Dbr)^2/4)</f>
        <v>339.5655572361482</v>
      </c>
      <c r="D44" s="7" t="s">
        <v>96</v>
      </c>
    </row>
    <row r="45" spans="2:6" ht="12.75">
      <c r="B45" s="5" t="s">
        <v>79</v>
      </c>
      <c r="C45" s="11">
        <f>sigloadbolt/Sigboltmax</f>
        <v>0.8489138930903706</v>
      </c>
      <c r="D45" s="7" t="s">
        <v>81</v>
      </c>
      <c r="F45"/>
    </row>
    <row r="46" spans="2:4" ht="12.75">
      <c r="B46" s="5" t="s">
        <v>97</v>
      </c>
      <c r="C46" s="12">
        <f>Fjointmax/Fleak</f>
        <v>1.1779757736790222</v>
      </c>
      <c r="D46" s="13" t="s">
        <v>101</v>
      </c>
    </row>
    <row r="48" spans="2:4" ht="12.75">
      <c r="B48" s="52" t="s">
        <v>102</v>
      </c>
      <c r="C48"/>
      <c r="D48"/>
    </row>
    <row r="49" spans="2:4" ht="12.75">
      <c r="B49" s="43"/>
      <c r="C49" s="44"/>
      <c r="D49" s="45"/>
    </row>
    <row r="50" spans="2:4" ht="12.75">
      <c r="B50" s="46"/>
      <c r="C50" s="47"/>
      <c r="D50" s="48"/>
    </row>
    <row r="51" spans="2:4" ht="12.75">
      <c r="B51" s="46"/>
      <c r="C51" s="47"/>
      <c r="D51" s="48"/>
    </row>
    <row r="52" spans="2:4" ht="12.75">
      <c r="B52" s="46"/>
      <c r="C52" s="47"/>
      <c r="D52" s="48"/>
    </row>
    <row r="53" spans="2:4" ht="12.75">
      <c r="B53" s="46"/>
      <c r="C53" s="47"/>
      <c r="D53" s="48"/>
    </row>
    <row r="54" spans="2:4" ht="12.75">
      <c r="B54" s="46"/>
      <c r="C54" s="47"/>
      <c r="D54" s="48"/>
    </row>
    <row r="55" spans="2:4" ht="12.75">
      <c r="B55" s="46"/>
      <c r="C55" s="47"/>
      <c r="D55" s="48"/>
    </row>
    <row r="56" spans="2:4" ht="12.75">
      <c r="B56" s="46"/>
      <c r="C56" s="47"/>
      <c r="D56" s="48"/>
    </row>
    <row r="57" spans="2:4" ht="12.75">
      <c r="B57" s="46"/>
      <c r="C57" s="47"/>
      <c r="D57" s="48"/>
    </row>
    <row r="58" spans="2:4" ht="12.75">
      <c r="B58" s="46"/>
      <c r="C58" s="47"/>
      <c r="D58" s="48"/>
    </row>
    <row r="59" spans="2:4" ht="12.75">
      <c r="B59" s="46"/>
      <c r="C59" s="47"/>
      <c r="D59" s="48"/>
    </row>
    <row r="60" spans="2:4" ht="12.75">
      <c r="B60" s="46"/>
      <c r="C60" s="47"/>
      <c r="D60" s="48"/>
    </row>
    <row r="61" spans="2:4" ht="12.75">
      <c r="B61" s="46"/>
      <c r="C61" s="47"/>
      <c r="D61" s="48"/>
    </row>
    <row r="62" spans="2:4" ht="12.75">
      <c r="B62" s="49"/>
      <c r="C62" s="50"/>
      <c r="D62" s="51"/>
    </row>
  </sheetData>
  <mergeCells count="8">
    <mergeCell ref="F28:G28"/>
    <mergeCell ref="B27:D27"/>
    <mergeCell ref="B37:D37"/>
    <mergeCell ref="B7:D7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964454" r:id="rId1"/>
    <oleObject progId="Equation.DSMT4" shapeId="7716627" r:id="rId2"/>
    <oleObject progId="Equation.DSMT4" shapeId="780802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H9"/>
  <sheetViews>
    <sheetView workbookViewId="0" topLeftCell="A1">
      <selection activeCell="B2" sqref="B2:H9"/>
    </sheetView>
  </sheetViews>
  <sheetFormatPr defaultColWidth="9.140625" defaultRowHeight="12.75"/>
  <sheetData>
    <row r="2" spans="2:8" ht="12.75">
      <c r="B2" s="1" t="s">
        <v>59</v>
      </c>
      <c r="C2" s="1"/>
      <c r="D2" s="1"/>
      <c r="E2" s="1"/>
      <c r="F2" s="1"/>
      <c r="G2" s="1"/>
      <c r="H2" s="1"/>
    </row>
    <row r="3" spans="2:8" ht="12.75">
      <c r="B3" s="1" t="s">
        <v>46</v>
      </c>
      <c r="C3" s="3"/>
      <c r="D3" s="1"/>
      <c r="E3" s="1"/>
      <c r="F3" s="1"/>
      <c r="G3" s="1"/>
      <c r="H3" s="1"/>
    </row>
    <row r="4" spans="2:8" ht="12.75">
      <c r="B4" s="1" t="s">
        <v>47</v>
      </c>
      <c r="C4" s="3">
        <f>10000000000000/1000000000</f>
        <v>10000</v>
      </c>
      <c r="D4" s="1" t="s">
        <v>48</v>
      </c>
      <c r="E4" s="1"/>
      <c r="F4" s="1"/>
      <c r="G4" s="1"/>
      <c r="H4" s="1"/>
    </row>
    <row r="5" spans="2:8" ht="12.75">
      <c r="B5" s="1" t="s">
        <v>52</v>
      </c>
      <c r="C5" s="3">
        <f>2*(hflange/2)*COS(PI()*alpha/180)+Dbolthead</f>
        <v>23.14213562373095</v>
      </c>
      <c r="D5" s="1" t="s">
        <v>51</v>
      </c>
      <c r="E5" s="1"/>
      <c r="F5" s="1"/>
      <c r="G5" s="1"/>
      <c r="H5" s="1"/>
    </row>
    <row r="6" spans="2:8" ht="12.75">
      <c r="B6" s="1" t="s">
        <v>53</v>
      </c>
      <c r="C6" s="3">
        <f>PI()*((Dsc/2)^2-(Dbore/2)^2)</f>
        <v>387.44354372826723</v>
      </c>
      <c r="D6" s="1" t="s">
        <v>54</v>
      </c>
      <c r="E6" s="1"/>
      <c r="F6" s="1"/>
      <c r="G6" s="1"/>
      <c r="H6" s="1"/>
    </row>
    <row r="7" spans="2:8" ht="12.75">
      <c r="B7" s="1" t="s">
        <v>55</v>
      </c>
      <c r="C7" s="3">
        <f>PI()*((Dbolthead/2)^2-(Dbore/2)^2)</f>
        <v>30.43417883165112</v>
      </c>
      <c r="D7" s="1" t="s">
        <v>56</v>
      </c>
      <c r="E7" s="1"/>
      <c r="F7" s="1"/>
      <c r="G7" s="1"/>
      <c r="H7" s="1"/>
    </row>
    <row r="8" spans="2:8" ht="12.75">
      <c r="B8" s="1" t="s">
        <v>57</v>
      </c>
      <c r="C8" s="3">
        <f>Abh*kj</f>
        <v>304341.7883165112</v>
      </c>
      <c r="D8" s="1" t="s">
        <v>49</v>
      </c>
      <c r="E8" s="1"/>
      <c r="F8" s="1"/>
      <c r="G8" s="1"/>
      <c r="H8" s="1"/>
    </row>
    <row r="9" spans="2:8" ht="12.75">
      <c r="B9" s="1" t="s">
        <v>58</v>
      </c>
      <c r="C9" s="3">
        <f>kj*Ascf</f>
        <v>3874435.437282672</v>
      </c>
      <c r="D9" s="1" t="s">
        <v>50</v>
      </c>
      <c r="E9" s="1"/>
      <c r="F9" s="1"/>
      <c r="G9" s="1"/>
      <c r="H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Simon Nolet</cp:lastModifiedBy>
  <dcterms:created xsi:type="dcterms:W3CDTF">2004-06-08T19:36:58Z</dcterms:created>
  <dcterms:modified xsi:type="dcterms:W3CDTF">2005-01-06T05:38:43Z</dcterms:modified>
  <cp:category/>
  <cp:version/>
  <cp:contentType/>
  <cp:contentStatus/>
</cp:coreProperties>
</file>