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35" windowWidth="11850" windowHeight="7650" activeTab="0"/>
  </bookViews>
  <sheets>
    <sheet name="Hcontact.xls" sheetId="1" r:id="rId1"/>
    <sheet name="Data" sheetId="2" r:id="rId2"/>
  </sheets>
  <definedNames>
    <definedName name="a">'Hcontact.xls'!$C$48</definedName>
    <definedName name="A0age">'Hcontact.xls'!$G$27</definedName>
    <definedName name="A0alt">'Hcontact.xls'!#REF!</definedName>
    <definedName name="A1age">'Hcontact.xls'!$G$28</definedName>
    <definedName name="A1alt">'Hcontact.xls'!$G$21</definedName>
    <definedName name="A2age">'Hcontact.xls'!$G$46</definedName>
    <definedName name="A2alt">'Hcontact.xls'!$G$22</definedName>
    <definedName name="A3age">'Hcontact.xls'!$G$47</definedName>
    <definedName name="A3alt">'Hcontact.xls'!$G$23</definedName>
    <definedName name="A4age">'Hcontact.xls'!$G$48</definedName>
    <definedName name="A4alt">'Hcontact.xls'!$G$24</definedName>
    <definedName name="A5age">'Hcontact.xls'!$G$49</definedName>
    <definedName name="A5alt">'Hcontact.xls'!$G$25</definedName>
    <definedName name="alpha">'Hcontact.xls'!$C$37</definedName>
    <definedName name="B">'Hcontact.xls'!$C$17</definedName>
    <definedName name="b_1">'Hcontact.xls'!$E$19</definedName>
    <definedName name="b_2">'Hcontact.xls'!$E$21</definedName>
    <definedName name="B0age">'Hcontact.xls'!$I$27</definedName>
    <definedName name="B0alt">'Hcontact.xls'!#REF!</definedName>
    <definedName name="B1age">'Hcontact.xls'!$I$28</definedName>
    <definedName name="B1alt">'Hcontact.xls'!$I$21</definedName>
    <definedName name="B2age">'Hcontact.xls'!$I$46</definedName>
    <definedName name="B2alt">'Hcontact.xls'!$I$22</definedName>
    <definedName name="B3age">'Hcontact.xls'!$I$47</definedName>
    <definedName name="B3alt">'Hcontact.xls'!$I$23</definedName>
    <definedName name="B4age">'Hcontact.xls'!$I$48</definedName>
    <definedName name="B4alt">'Hcontact.xls'!$I$24</definedName>
    <definedName name="B5age">'Hcontact.xls'!$I$49</definedName>
    <definedName name="B5alt">'Hcontact.xls'!$I$25</definedName>
    <definedName name="beta">'Hcontact.xls'!$C$38</definedName>
    <definedName name="cc">'Hcontact.xls'!$C$41</definedName>
    <definedName name="costheta">'Hcontact.xls'!$C$35</definedName>
    <definedName name="d_0">'Hcontact.xls'!$C$16</definedName>
    <definedName name="d_1">'Hcontact.xls'!$C$7</definedName>
    <definedName name="d_2">'Hcontact.xls'!$C$8</definedName>
    <definedName name="dd">'Hcontact.xls'!$C$42</definedName>
    <definedName name="defl_1">'Hcontact.xls'!$C$19</definedName>
    <definedName name="defl_2">'Hcontact.xls'!$C$20</definedName>
    <definedName name="DmDm">'Hcontact.xls'!#REF!</definedName>
    <definedName name="do">'Hcontact.xls'!$C$16</definedName>
    <definedName name="E1e">'Hcontact.xls'!$E$12</definedName>
    <definedName name="E2e">'Hcontact.xls'!$E$13</definedName>
    <definedName name="Ebar">'Hcontact.xls'!$C$12</definedName>
    <definedName name="Ee">'Hcontact.xls'!$E$11</definedName>
    <definedName name="Eone">'Hcontact.xls'!$C$11</definedName>
    <definedName name="Eroller">'Hcontact.xls'!$C$11</definedName>
    <definedName name="Etwo">'Hcontact.xls'!$C$12</definedName>
    <definedName name="F">'Hcontact.xls'!$C$10</definedName>
    <definedName name="Fpercent">'Hcontact.xls'!#REF!</definedName>
    <definedName name="L">'Hcontact.xls'!$C$9</definedName>
    <definedName name="L0age">'Hcontact.xls'!$K$27</definedName>
    <definedName name="L0alt">'Hcontact.xls'!#REF!</definedName>
    <definedName name="L1age">'Hcontact.xls'!$K$28</definedName>
    <definedName name="L1alt">'Hcontact.xls'!$K$21</definedName>
    <definedName name="L2age">'Hcontact.xls'!$K$46</definedName>
    <definedName name="L2alt">'Hcontact.xls'!$K$22</definedName>
    <definedName name="L3age">'Hcontact.xls'!$K$47</definedName>
    <definedName name="L3alt">'Hcontact.xls'!$K$23</definedName>
    <definedName name="L4age">'Hcontact.xls'!$K$48</definedName>
    <definedName name="L4alt">'Hcontact.xls'!$K$24</definedName>
    <definedName name="L5age">'Hcontact.xls'!$K$49</definedName>
    <definedName name="L5alt">'Hcontact.xls'!$K$25</definedName>
    <definedName name="lambda">'Hcontact.xls'!$C$39</definedName>
    <definedName name="mu">'Hcontact.xls'!#REF!</definedName>
    <definedName name="phi">'Hcontact.xls'!$C$34</definedName>
    <definedName name="Phi__degrees">'Hcontact.xls'!$C$34</definedName>
    <definedName name="Pmax">'Hcontact.xls'!$C$30</definedName>
    <definedName name="_xlnm.Print_Area" localSheetId="0">'Hcontact.xls'!$B$2:$C$26</definedName>
    <definedName name="q">'Hcontact.xls'!$C$43</definedName>
    <definedName name="qcyl">'Hcontact.xls'!$C$18</definedName>
    <definedName name="Ra">'Hcontact.xls'!$C$25</definedName>
    <definedName name="re">'Hcontact.xls'!$C$40</definedName>
    <definedName name="Ronemaj">'Hcontact.xls'!$C$30</definedName>
    <definedName name="Ronemin">'Hcontact.xls'!$C$31</definedName>
    <definedName name="Rtwomaj">'Hcontact.xls'!$C$32</definedName>
    <definedName name="Rtwomin">'Hcontact.xls'!$C$33</definedName>
    <definedName name="sigult">'Hcontact.xls'!$C$15</definedName>
    <definedName name="theta_1">'Hcontact.xls'!$C$36</definedName>
    <definedName name="tm">'Hcontact.xls'!#REF!</definedName>
    <definedName name="vbar">'Hcontact.xls'!$C$14</definedName>
    <definedName name="vone">'Hcontact.xls'!$C$13</definedName>
    <definedName name="vroller">'Hcontact.xls'!$C$13</definedName>
    <definedName name="vtwo">'Hcontact.xls'!$C$14</definedName>
    <definedName name="Xpercent">'Hcontact.xls'!#REF!</definedName>
    <definedName name="zinc">'Data'!$C$3</definedName>
  </definedNames>
  <calcPr fullCalcOnLoad="1"/>
</workbook>
</file>

<file path=xl/sharedStrings.xml><?xml version="1.0" encoding="utf-8"?>
<sst xmlns="http://schemas.openxmlformats.org/spreadsheetml/2006/main" count="63" uniqueCount="63">
  <si>
    <t>Ronemaj</t>
  </si>
  <si>
    <t>Ronemin</t>
  </si>
  <si>
    <t>Rtwomaj</t>
  </si>
  <si>
    <t>Rtwomin</t>
  </si>
  <si>
    <t>Phi (degrees)</t>
  </si>
  <si>
    <t>Poisson's ratio vone</t>
  </si>
  <si>
    <t>Poisson's ratio vtwo</t>
  </si>
  <si>
    <t>Equivelent radius Re</t>
  </si>
  <si>
    <t>costheta</t>
  </si>
  <si>
    <t>theta</t>
  </si>
  <si>
    <t>alpha</t>
  </si>
  <si>
    <t>beta</t>
  </si>
  <si>
    <t>lambda</t>
  </si>
  <si>
    <t>ellipse c</t>
  </si>
  <si>
    <t>ellipse d</t>
  </si>
  <si>
    <t>Stress ratio (must be less than 1)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</si>
  <si>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</si>
  <si>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</si>
  <si>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</si>
  <si>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</si>
  <si>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</si>
  <si>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</si>
  <si>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</si>
  <si>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Depth at maximum shear stress/a</t>
  </si>
  <si>
    <t>Max shear stress/ultimate tensile</t>
  </si>
  <si>
    <t>To determine Hertz contact stress between two cylinders</t>
  </si>
  <si>
    <t>Conact area half-width b_1</t>
  </si>
  <si>
    <t>Conact area half-width b_2</t>
  </si>
  <si>
    <t>Smaller cylinder 1 diameter, d_1 (mm)</t>
  </si>
  <si>
    <t>Larger cylinder 2 (or flat plane) diameter, d_2 (mm)</t>
  </si>
  <si>
    <t>Length, L (mm)</t>
  </si>
  <si>
    <t>Applied load, F (N)</t>
  </si>
  <si>
    <t>Elastic modulus Eone (N/mm^2)</t>
  </si>
  <si>
    <t>Elastic modulus Etwo (N/mm^2)</t>
  </si>
  <si>
    <t>Equivelent modulus, Ee (N/mm^2)</t>
  </si>
  <si>
    <t>Ultimate tensile stress, sigult (N/mm^2)</t>
  </si>
  <si>
    <t>Contact pressure, qcyl (N/mm^2)</t>
  </si>
  <si>
    <t>Total relative displacement of the cylinder's centers, dcyls (mm)</t>
  </si>
  <si>
    <t>Deflection motion of d_1 center, defl_1 (mm)</t>
  </si>
  <si>
    <t>Deflection motion of d_2 center, defl_2 (mm)</t>
  </si>
  <si>
    <t>For a cylinder on a flat plate</t>
  </si>
  <si>
    <t>z/b_1</t>
  </si>
  <si>
    <t>Stress factor: Must be less than 1</t>
  </si>
  <si>
    <t>Rectangular contact zone width, 2b (mm)</t>
  </si>
  <si>
    <t>Equivelent modulus, E1e (N/mm^2)</t>
  </si>
  <si>
    <t>Equivelent modulus, E2e (N/mm^2)</t>
  </si>
  <si>
    <t>For d_1 pressed against a rigid flat plate</t>
  </si>
  <si>
    <t>For d_2 pressed against a rigid flat plate</t>
  </si>
  <si>
    <t>Depth below contact surface for evaluating deflection, do</t>
  </si>
  <si>
    <t>Manufacturing issues</t>
  </si>
  <si>
    <t>Surface roughness, Ra (mm)</t>
  </si>
  <si>
    <t>Potential induced contact width, Bra (mm)</t>
  </si>
  <si>
    <t>By Alex Slocum, last modified 2/10/2004 by Alex Slocum</t>
  </si>
  <si>
    <t>Hertz_contact_line.xls</t>
  </si>
  <si>
    <t>Compare to sphere-on-flat-plate of same diameter:</t>
  </si>
  <si>
    <t>Maximum shear stress/(ultimate tensile/2)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</si>
  <si>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</si>
  <si>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r>
      <t>s</t>
    </r>
    <r>
      <rPr>
        <vertAlign val="subscript"/>
        <sz val="10"/>
        <rFont val="Times New Roman"/>
        <family val="1"/>
      </rPr>
      <t>x/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ultimate</t>
    </r>
  </si>
  <si>
    <r>
      <t>s</t>
    </r>
    <r>
      <rPr>
        <vertAlign val="subscript"/>
        <sz val="10"/>
        <rFont val="Times New Roman"/>
        <family val="1"/>
      </rPr>
      <t>y/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ultimate</t>
    </r>
  </si>
  <si>
    <r>
      <t>s</t>
    </r>
    <r>
      <rPr>
        <vertAlign val="subscript"/>
        <sz val="10"/>
        <rFont val="Times New Roman"/>
        <family val="1"/>
      </rPr>
      <t>z/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ultimate</t>
    </r>
  </si>
  <si>
    <r>
      <t>t</t>
    </r>
    <r>
      <rPr>
        <sz val="10"/>
        <rFont val="Times New Roman"/>
        <family val="1"/>
      </rPr>
      <t>yx/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ultimate</t>
    </r>
  </si>
  <si>
    <r>
      <t>t</t>
    </r>
    <r>
      <rPr>
        <sz val="10"/>
        <rFont val="Times New Roman"/>
        <family val="1"/>
      </rPr>
      <t>zx/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ultimate</t>
    </r>
  </si>
  <si>
    <r>
      <t>t</t>
    </r>
    <r>
      <rPr>
        <sz val="10"/>
        <rFont val="Times New Roman"/>
        <family val="1"/>
      </rPr>
      <t>zy/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ultimate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</si>
</sst>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2" borderId="0" xfId="0" applyAlignment="1">
      <alignment/>
    </xf>
    <xf numFmtId="0" fontId="10" fillId="2" borderId="0" xfId="0" applyFont="1" applyAlignment="1">
      <alignment/>
    </xf>
    <xf numFmtId="0" fontId="11" fillId="2" borderId="0" xfId="0" applyFont="1" applyAlignment="1">
      <alignment/>
    </xf>
    <xf numFmtId="0" fontId="11" fillId="0" borderId="1" xfId="0" applyFont="1" applyFill="1" applyBorder="1" applyAlignment="1">
      <alignment horizontal="left"/>
    </xf>
    <xf numFmtId="11" fontId="13" fillId="0" borderId="1" xfId="0" applyNumberFormat="1" applyFont="1" applyFill="1" applyBorder="1" applyAlignment="1">
      <alignment/>
    </xf>
    <xf numFmtId="0" fontId="0" fillId="2" borderId="0" xfId="0" applyFont="1" applyAlignment="1">
      <alignment/>
    </xf>
    <xf numFmtId="168" fontId="11" fillId="2" borderId="0" xfId="0" applyNumberFormat="1" applyFont="1" applyAlignment="1">
      <alignment/>
    </xf>
    <xf numFmtId="0" fontId="11" fillId="2" borderId="0" xfId="0" applyFont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/>
    </xf>
    <xf numFmtId="166" fontId="11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2" borderId="0" xfId="0" applyFont="1" applyBorder="1" applyAlignment="1">
      <alignment horizontal="left"/>
    </xf>
    <xf numFmtId="1" fontId="12" fillId="3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11" fontId="12" fillId="3" borderId="1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/>
    </xf>
    <xf numFmtId="1" fontId="13" fillId="3" borderId="1" xfId="0" applyNumberFormat="1" applyFont="1" applyFill="1" applyBorder="1" applyAlignment="1">
      <alignment/>
    </xf>
    <xf numFmtId="167" fontId="13" fillId="3" borderId="1" xfId="0" applyNumberFormat="1" applyFont="1" applyFill="1" applyBorder="1" applyAlignment="1">
      <alignment/>
    </xf>
    <xf numFmtId="164" fontId="13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left" indent="1"/>
    </xf>
    <xf numFmtId="166" fontId="13" fillId="3" borderId="1" xfId="0" applyNumberFormat="1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3" borderId="1" xfId="0" applyFont="1" applyFill="1" applyBorder="1" applyAlignment="1">
      <alignment horizontal="left" indent="2"/>
    </xf>
    <xf numFmtId="167" fontId="13" fillId="3" borderId="3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167" fontId="13" fillId="2" borderId="0" xfId="0" applyNumberFormat="1" applyFont="1" applyFill="1" applyBorder="1" applyAlignment="1">
      <alignment/>
    </xf>
    <xf numFmtId="165" fontId="12" fillId="3" borderId="1" xfId="0" applyNumberFormat="1" applyFont="1" applyFill="1" applyBorder="1" applyAlignment="1">
      <alignment/>
    </xf>
    <xf numFmtId="11" fontId="13" fillId="3" borderId="1" xfId="0" applyNumberFormat="1" applyFont="1" applyFill="1" applyBorder="1" applyAlignment="1">
      <alignment/>
    </xf>
    <xf numFmtId="165" fontId="13" fillId="3" borderId="1" xfId="0" applyNumberFormat="1" applyFont="1" applyFill="1" applyBorder="1" applyAlignment="1">
      <alignment/>
    </xf>
    <xf numFmtId="0" fontId="11" fillId="3" borderId="4" xfId="0" applyFont="1" applyFill="1" applyBorder="1" applyAlignment="1">
      <alignment horizontal="left" indent="1"/>
    </xf>
    <xf numFmtId="166" fontId="13" fillId="3" borderId="4" xfId="0" applyNumberFormat="1" applyFont="1" applyFill="1" applyBorder="1" applyAlignment="1">
      <alignment/>
    </xf>
    <xf numFmtId="0" fontId="11" fillId="2" borderId="0" xfId="0" applyFont="1" applyBorder="1" applyAlignment="1">
      <alignment/>
    </xf>
    <xf numFmtId="0" fontId="10" fillId="2" borderId="0" xfId="0" applyFont="1" applyBorder="1" applyAlignment="1">
      <alignment/>
    </xf>
    <xf numFmtId="0" fontId="17" fillId="3" borderId="3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State of Stress below a cylinder on a flat plate</a:t>
            </a:r>
          </a:p>
        </c:rich>
      </c:tx>
      <c:layout>
        <c:manualLayout>
          <c:xMode val="factor"/>
          <c:yMode val="factor"/>
          <c:x val="0.010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285"/>
          <c:w val="0.89225"/>
          <c:h val="0.78875"/>
        </c:manualLayout>
      </c:layout>
      <c:scatterChart>
        <c:scatterStyle val="smooth"/>
        <c:varyColors val="0"/>
        <c:ser>
          <c:idx val="2"/>
          <c:order val="0"/>
          <c:tx>
            <c:strRef>
              <c:f>Data!$G$4</c:f>
              <c:strCache>
                <c:ptCount val="1"/>
                <c:pt idx="0">
                  <c:v>tyx/sultimate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Data!$C$5:$C$55</c:f>
              <c:numCache>
                <c:ptCount val="51"/>
                <c:pt idx="0">
                  <c:v>0</c:v>
                </c:pt>
                <c:pt idx="1">
                  <c:v>0.18947714367768329</c:v>
                </c:pt>
                <c:pt idx="2">
                  <c:v>0.37895428735536657</c:v>
                </c:pt>
                <c:pt idx="3">
                  <c:v>0.5684314310330499</c:v>
                </c:pt>
                <c:pt idx="4">
                  <c:v>0.7579085747107331</c:v>
                </c:pt>
                <c:pt idx="5">
                  <c:v>0.9473857183884165</c:v>
                </c:pt>
                <c:pt idx="6">
                  <c:v>1.1368628620660999</c:v>
                </c:pt>
                <c:pt idx="7">
                  <c:v>1.326340005743783</c:v>
                </c:pt>
                <c:pt idx="8">
                  <c:v>1.5158171494214665</c:v>
                </c:pt>
                <c:pt idx="9">
                  <c:v>1.7052942930991497</c:v>
                </c:pt>
                <c:pt idx="10">
                  <c:v>1.894771436776833</c:v>
                </c:pt>
                <c:pt idx="11">
                  <c:v>2.084248580454516</c:v>
                </c:pt>
                <c:pt idx="12">
                  <c:v>2.2737257241321993</c:v>
                </c:pt>
                <c:pt idx="13">
                  <c:v>2.4632028678098825</c:v>
                </c:pt>
                <c:pt idx="14">
                  <c:v>2.6526800114875657</c:v>
                </c:pt>
                <c:pt idx="15">
                  <c:v>2.842157155165249</c:v>
                </c:pt>
                <c:pt idx="16">
                  <c:v>3.031634298842932</c:v>
                </c:pt>
                <c:pt idx="17">
                  <c:v>3.2211114425206153</c:v>
                </c:pt>
                <c:pt idx="18">
                  <c:v>3.4105885861982985</c:v>
                </c:pt>
                <c:pt idx="19">
                  <c:v>3.600065729875982</c:v>
                </c:pt>
                <c:pt idx="20">
                  <c:v>3.789542873553666</c:v>
                </c:pt>
                <c:pt idx="21">
                  <c:v>3.9790200172313495</c:v>
                </c:pt>
                <c:pt idx="22">
                  <c:v>4.168497160909033</c:v>
                </c:pt>
                <c:pt idx="23">
                  <c:v>4.357974304586716</c:v>
                </c:pt>
                <c:pt idx="24">
                  <c:v>4.5474514482643995</c:v>
                </c:pt>
                <c:pt idx="25">
                  <c:v>4.736928591942084</c:v>
                </c:pt>
                <c:pt idx="26">
                  <c:v>4.926405735619767</c:v>
                </c:pt>
                <c:pt idx="27">
                  <c:v>5.115882879297451</c:v>
                </c:pt>
                <c:pt idx="28">
                  <c:v>5.305360022975134</c:v>
                </c:pt>
                <c:pt idx="29">
                  <c:v>5.494837166652817</c:v>
                </c:pt>
                <c:pt idx="30">
                  <c:v>5.684314310330501</c:v>
                </c:pt>
                <c:pt idx="31">
                  <c:v>5.873791454008185</c:v>
                </c:pt>
                <c:pt idx="32">
                  <c:v>6.063268597685868</c:v>
                </c:pt>
                <c:pt idx="33">
                  <c:v>6.252745741363552</c:v>
                </c:pt>
                <c:pt idx="34">
                  <c:v>6.442222885041234</c:v>
                </c:pt>
                <c:pt idx="35">
                  <c:v>6.631700028718917</c:v>
                </c:pt>
                <c:pt idx="36">
                  <c:v>6.821177172396601</c:v>
                </c:pt>
                <c:pt idx="37">
                  <c:v>7.010654316074283</c:v>
                </c:pt>
                <c:pt idx="38">
                  <c:v>7.200131459751966</c:v>
                </c:pt>
                <c:pt idx="39">
                  <c:v>7.389608603429648</c:v>
                </c:pt>
                <c:pt idx="40">
                  <c:v>7.579085747107332</c:v>
                </c:pt>
                <c:pt idx="41">
                  <c:v>7.768562890785014</c:v>
                </c:pt>
                <c:pt idx="42">
                  <c:v>7.958040034462697</c:v>
                </c:pt>
                <c:pt idx="43">
                  <c:v>8.14751717814038</c:v>
                </c:pt>
                <c:pt idx="44">
                  <c:v>8.336994321818063</c:v>
                </c:pt>
                <c:pt idx="45">
                  <c:v>8.526471465495746</c:v>
                </c:pt>
                <c:pt idx="46">
                  <c:v>8.715948609173429</c:v>
                </c:pt>
                <c:pt idx="47">
                  <c:v>8.90542575285111</c:v>
                </c:pt>
                <c:pt idx="48">
                  <c:v>9.094902896528794</c:v>
                </c:pt>
                <c:pt idx="49">
                  <c:v>9.284380040206477</c:v>
                </c:pt>
                <c:pt idx="50">
                  <c:v>9.47385718388416</c:v>
                </c:pt>
              </c:numCache>
            </c:numRef>
          </c:xVal>
          <c:yVal>
            <c:numRef>
              <c:f>Data!$I$5:$I$55</c:f>
              <c:numCache>
                <c:ptCount val="51"/>
                <c:pt idx="0">
                  <c:v>0</c:v>
                </c:pt>
                <c:pt idx="1">
                  <c:v>-0.25676447111302114</c:v>
                </c:pt>
                <c:pt idx="2">
                  <c:v>-0.40739601099423406</c:v>
                </c:pt>
                <c:pt idx="3">
                  <c:v>-0.478763841403747</c:v>
                </c:pt>
                <c:pt idx="4">
                  <c:v>-0.49971790038289376</c:v>
                </c:pt>
                <c:pt idx="5">
                  <c:v>-0.49257135639436156</c:v>
                </c:pt>
                <c:pt idx="6">
                  <c:v>-0.47162596505174015</c:v>
                </c:pt>
                <c:pt idx="7">
                  <c:v>-0.4450520078876985</c:v>
                </c:pt>
                <c:pt idx="8">
                  <c:v>-0.4171643147063301</c:v>
                </c:pt>
                <c:pt idx="9">
                  <c:v>-0.39008435698072874</c:v>
                </c:pt>
                <c:pt idx="10">
                  <c:v>-0.36475424892928154</c:v>
                </c:pt>
                <c:pt idx="11">
                  <c:v>-0.341506272225412</c:v>
                </c:pt>
                <c:pt idx="12">
                  <c:v>-0.3203698266098692</c:v>
                </c:pt>
                <c:pt idx="13">
                  <c:v>-0.3012330504546953</c:v>
                </c:pt>
                <c:pt idx="14">
                  <c:v>-0.283926354997287</c:v>
                </c:pt>
                <c:pt idx="15">
                  <c:v>-0.2682645746181938</c:v>
                </c:pt>
                <c:pt idx="16">
                  <c:v>-0.25406735690042015</c:v>
                </c:pt>
                <c:pt idx="17">
                  <c:v>-0.24116820901383992</c:v>
                </c:pt>
                <c:pt idx="18">
                  <c:v>-0.22941772022367365</c:v>
                </c:pt>
                <c:pt idx="19">
                  <c:v>-0.218683882861151</c:v>
                </c:pt>
                <c:pt idx="20">
                  <c:v>-0.20885105322027323</c:v>
                </c:pt>
                <c:pt idx="21">
                  <c:v>-0.19981835717648147</c:v>
                </c:pt>
                <c:pt idx="22">
                  <c:v>-0.19149795143583218</c:v>
                </c:pt>
                <c:pt idx="23">
                  <c:v>-0.18381334095934904</c:v>
                </c:pt>
                <c:pt idx="24">
                  <c:v>-0.17669784155852836</c:v>
                </c:pt>
                <c:pt idx="25">
                  <c:v>-0.17009321851059453</c:v>
                </c:pt>
                <c:pt idx="26">
                  <c:v>-0.16394850275993664</c:v>
                </c:pt>
                <c:pt idx="27">
                  <c:v>-0.15821897251325057</c:v>
                </c:pt>
                <c:pt idx="28">
                  <c:v>-0.1528652825137162</c:v>
                </c:pt>
                <c:pt idx="29">
                  <c:v>-0.14785272201135288</c:v>
                </c:pt>
                <c:pt idx="30">
                  <c:v>-0.14315058326320104</c:v>
                </c:pt>
                <c:pt idx="31">
                  <c:v>-0.13873162412908838</c:v>
                </c:pt>
                <c:pt idx="32">
                  <c:v>-0.13457161036041954</c:v>
                </c:pt>
                <c:pt idx="33">
                  <c:v>-0.13064892519831173</c:v>
                </c:pt>
                <c:pt idx="34">
                  <c:v>-0.12694423575788333</c:v>
                </c:pt>
                <c:pt idx="35">
                  <c:v>-0.12344020732091714</c:v>
                </c:pt>
                <c:pt idx="36">
                  <c:v>-0.12012125807934206</c:v>
                </c:pt>
                <c:pt idx="37">
                  <c:v>-0.11697334807902363</c:v>
                </c:pt>
                <c:pt idx="38">
                  <c:v>-0.11398379713009718</c:v>
                </c:pt>
                <c:pt idx="39">
                  <c:v>-0.11114112730068308</c:v>
                </c:pt>
                <c:pt idx="40">
                  <c:v>-0.10843492632057537</c:v>
                </c:pt>
                <c:pt idx="41">
                  <c:v>-0.10585572881221528</c:v>
                </c:pt>
                <c:pt idx="42">
                  <c:v>-0.10339491275769924</c:v>
                </c:pt>
                <c:pt idx="43">
                  <c:v>-0.10104460901960506</c:v>
                </c:pt>
                <c:pt idx="44">
                  <c:v>-0.09879762207380068</c:v>
                </c:pt>
                <c:pt idx="45">
                  <c:v>-0.0966473603965214</c:v>
                </c:pt>
                <c:pt idx="46">
                  <c:v>-0.09458777518490039</c:v>
                </c:pt>
                <c:pt idx="47">
                  <c:v>-0.09261330628868489</c:v>
                </c:pt>
                <c:pt idx="48">
                  <c:v>-0.09071883439697401</c:v>
                </c:pt>
                <c:pt idx="49">
                  <c:v>-0.08889963866367423</c:v>
                </c:pt>
                <c:pt idx="50">
                  <c:v>-0.08715135907284802</c:v>
                </c:pt>
              </c:numCache>
            </c:numRef>
          </c:yVal>
          <c:smooth val="1"/>
        </c:ser>
        <c:axId val="59178740"/>
        <c:axId val="62846613"/>
      </c:scatterChart>
      <c:val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Distance below surface/contact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6613"/>
        <c:crosses val="autoZero"/>
        <c:crossBetween val="midCat"/>
        <c:dispUnits/>
      </c:valAx>
      <c:valAx>
        <c:axId val="62846613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</a:t>
                </a:r>
                <a:r>
                  <a:rPr lang="en-US" cap="none" sz="800" b="1" i="0" u="none" baseline="-25000"/>
                  <a:t>zy</a:t>
                </a:r>
                <a:r>
                  <a:rPr lang="en-US" cap="none" sz="800" b="1" i="0" u="none" baseline="0"/>
                  <a:t> shear stress/ultimate tensile stress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51</xdr:row>
      <xdr:rowOff>152400</xdr:rowOff>
    </xdr:from>
    <xdr:to>
      <xdr:col>3</xdr:col>
      <xdr:colOff>990600</xdr:colOff>
      <xdr:row>72</xdr:row>
      <xdr:rowOff>85725</xdr:rowOff>
    </xdr:to>
    <xdr:graphicFrame>
      <xdr:nvGraphicFramePr>
        <xdr:cNvPr id="1" name="Chart 3"/>
        <xdr:cNvGraphicFramePr/>
      </xdr:nvGraphicFramePr>
      <xdr:xfrm>
        <a:off x="295275" y="8458200"/>
        <a:ext cx="5162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28</xdr:row>
      <xdr:rowOff>9525</xdr:rowOff>
    </xdr:from>
    <xdr:to>
      <xdr:col>5</xdr:col>
      <xdr:colOff>219075</xdr:colOff>
      <xdr:row>44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4591050"/>
          <a:ext cx="333375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1743075</xdr:colOff>
      <xdr:row>27</xdr:row>
      <xdr:rowOff>19050</xdr:rowOff>
    </xdr:from>
    <xdr:to>
      <xdr:col>10</xdr:col>
      <xdr:colOff>47625</xdr:colOff>
      <xdr:row>27</xdr:row>
      <xdr:rowOff>114300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4438650"/>
          <a:ext cx="6353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9525</xdr:rowOff>
    </xdr:from>
    <xdr:to>
      <xdr:col>3</xdr:col>
      <xdr:colOff>1943100</xdr:colOff>
      <xdr:row>27</xdr:row>
      <xdr:rowOff>104775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429125"/>
          <a:ext cx="63627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1790700</xdr:colOff>
      <xdr:row>50</xdr:row>
      <xdr:rowOff>142875</xdr:rowOff>
    </xdr:from>
    <xdr:to>
      <xdr:col>10</xdr:col>
      <xdr:colOff>76200</xdr:colOff>
      <xdr:row>51</xdr:row>
      <xdr:rowOff>76200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8286750"/>
          <a:ext cx="6334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50</xdr:row>
      <xdr:rowOff>142875</xdr:rowOff>
    </xdr:from>
    <xdr:to>
      <xdr:col>3</xdr:col>
      <xdr:colOff>2000250</xdr:colOff>
      <xdr:row>51</xdr:row>
      <xdr:rowOff>76200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286750"/>
          <a:ext cx="63627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2"/>
  <sheetViews>
    <sheetView tabSelected="1" workbookViewId="0" topLeftCell="A1">
      <selection activeCell="D90" sqref="D90"/>
    </sheetView>
  </sheetViews>
  <sheetFormatPr defaultColWidth="9.00390625" defaultRowHeight="12.75"/>
  <cols>
    <col min="1" max="1" width="4.00390625" style="2" customWidth="1"/>
    <col min="2" max="2" width="43.875" style="7" customWidth="1"/>
    <col min="3" max="3" width="10.75390625" style="2" customWidth="1"/>
    <col min="4" max="4" width="34.75390625" style="2" customWidth="1"/>
    <col min="5" max="6" width="11.75390625" style="2" customWidth="1"/>
    <col min="7" max="7" width="12.25390625" style="2" customWidth="1"/>
    <col min="8" max="8" width="12.375" style="2" customWidth="1"/>
    <col min="9" max="10" width="11.375" style="2" customWidth="1"/>
    <col min="11" max="14" width="11.375" style="1" customWidth="1"/>
    <col min="15" max="15" width="10.75390625" style="1" customWidth="1"/>
    <col min="16" max="16" width="12.125" style="1" customWidth="1"/>
    <col min="17" max="20" width="10.75390625" style="1" customWidth="1"/>
    <col min="21" max="16384" width="11.375" style="1" customWidth="1"/>
  </cols>
  <sheetData>
    <row r="1" ht="13.5" thickBot="1"/>
    <row r="2" spans="2:3" ht="13.5">
      <c r="B2" s="44" t="s">
        <v>53</v>
      </c>
      <c r="C2" s="45"/>
    </row>
    <row r="3" spans="2:3" ht="12.75">
      <c r="B3" s="46" t="s">
        <v>25</v>
      </c>
      <c r="C3" s="47"/>
    </row>
    <row r="4" spans="2:3" ht="12.75" customHeight="1">
      <c r="B4" s="46" t="s">
        <v>52</v>
      </c>
      <c r="C4" s="47"/>
    </row>
    <row r="5" spans="2:3" ht="14.25" thickBot="1">
      <c r="B5" s="42" t="s">
        <v>56</v>
      </c>
      <c r="C5" s="43"/>
    </row>
    <row r="6" spans="2:3" ht="13.5" customHeight="1">
      <c r="B6" s="13"/>
      <c r="C6" s="13"/>
    </row>
    <row r="7" spans="2:3" ht="12.75">
      <c r="B7" s="8" t="s">
        <v>28</v>
      </c>
      <c r="C7" s="15">
        <v>100</v>
      </c>
    </row>
    <row r="8" spans="2:3" ht="12.75">
      <c r="B8" s="8" t="s">
        <v>29</v>
      </c>
      <c r="C8" s="14">
        <v>100</v>
      </c>
    </row>
    <row r="9" spans="2:3" ht="12.75">
      <c r="B9" s="8" t="s">
        <v>30</v>
      </c>
      <c r="C9" s="15">
        <v>10</v>
      </c>
    </row>
    <row r="10" spans="2:3" ht="12.75">
      <c r="B10" s="8" t="s">
        <v>31</v>
      </c>
      <c r="C10" s="16">
        <v>62949.5459393597</v>
      </c>
    </row>
    <row r="11" spans="2:5" ht="12.75">
      <c r="B11" s="8" t="s">
        <v>32</v>
      </c>
      <c r="C11" s="17">
        <v>200000</v>
      </c>
      <c r="D11" s="3" t="s">
        <v>34</v>
      </c>
      <c r="E11" s="4">
        <f>1/((1-vone^2)/Eone+(1-vtwo^2)/Etwo)</f>
        <v>2162.024260074222</v>
      </c>
    </row>
    <row r="12" spans="2:5" ht="12.75">
      <c r="B12" s="8" t="s">
        <v>33</v>
      </c>
      <c r="C12" s="17">
        <v>2000</v>
      </c>
      <c r="D12" s="3" t="s">
        <v>44</v>
      </c>
      <c r="E12" s="4">
        <f>(1/((1-vone^2)/Eone))</f>
        <v>218364.45026749646</v>
      </c>
    </row>
    <row r="13" spans="2:5" ht="12.75">
      <c r="B13" s="8" t="s">
        <v>5</v>
      </c>
      <c r="C13" s="15">
        <v>0.29</v>
      </c>
      <c r="D13" s="3" t="s">
        <v>45</v>
      </c>
      <c r="E13" s="4">
        <f>(1/((1-vtwo^2)/Etwo))</f>
        <v>2183.6445026749643</v>
      </c>
    </row>
    <row r="14" spans="2:5" ht="12.75">
      <c r="B14" s="8" t="s">
        <v>6</v>
      </c>
      <c r="C14" s="15">
        <v>0.29</v>
      </c>
      <c r="D14" s="1"/>
      <c r="E14" s="1"/>
    </row>
    <row r="15" spans="2:3" ht="12.75">
      <c r="B15" s="8" t="s">
        <v>35</v>
      </c>
      <c r="C15" s="14">
        <v>250</v>
      </c>
    </row>
    <row r="16" spans="2:3" ht="12.75">
      <c r="B16" s="8" t="s">
        <v>48</v>
      </c>
      <c r="C16" s="15">
        <v>300</v>
      </c>
    </row>
    <row r="17" spans="2:3" ht="12.75">
      <c r="B17" s="8" t="s">
        <v>43</v>
      </c>
      <c r="C17" s="18">
        <f>2*SQRT(2*F*d_1*d_2/(PI()*L*Ee*(d_1+d_2)))</f>
        <v>19.2540049357729</v>
      </c>
    </row>
    <row r="18" spans="2:6" ht="12.75">
      <c r="B18" s="8" t="s">
        <v>36</v>
      </c>
      <c r="C18" s="19">
        <f>2*F/(PI()*(B/2)*L)</f>
        <v>416.27625774729836</v>
      </c>
      <c r="D18" s="24" t="s">
        <v>46</v>
      </c>
      <c r="E18" s="9"/>
      <c r="F18" s="27"/>
    </row>
    <row r="19" spans="2:6" ht="12.75">
      <c r="B19" s="8" t="s">
        <v>38</v>
      </c>
      <c r="C19" s="20">
        <f>(2*F)/(PI()*L*E1e)*(LN(2*d_1/b_1)-0.5)</f>
        <v>0.08248872717697936</v>
      </c>
      <c r="D19" s="25" t="s">
        <v>26</v>
      </c>
      <c r="E19" s="26">
        <f>SQRT(2*F*d_1/(PI()*L*E1e))</f>
        <v>1.3547070599034736</v>
      </c>
      <c r="F19" s="28"/>
    </row>
    <row r="20" spans="2:6" ht="12.75">
      <c r="B20" s="9" t="s">
        <v>39</v>
      </c>
      <c r="C20" s="21">
        <f>IF(d_2&lt;1000,(2*F)/(PI()*L*E2e)*(LN(2*d_2/b_2)-0.5),(2*F)/(PI()*L*E2e)*(LN(2*do/b_1)-vtwo/(2*(1-vtwo))))</f>
        <v>4.023096672583117</v>
      </c>
      <c r="D20" s="24" t="s">
        <v>47</v>
      </c>
      <c r="E20" s="9"/>
      <c r="F20" s="27"/>
    </row>
    <row r="21" spans="2:6" ht="12.75">
      <c r="B21" s="9" t="s">
        <v>37</v>
      </c>
      <c r="C21" s="20">
        <f>defl_1+defl_2</f>
        <v>4.105585399760097</v>
      </c>
      <c r="D21" s="25" t="s">
        <v>27</v>
      </c>
      <c r="E21" s="26">
        <f>SQRT(2*F*d_2/(PI()*L*E2e))</f>
        <v>13.547070599034736</v>
      </c>
      <c r="F21" s="28"/>
    </row>
    <row r="22" spans="2:3" ht="12.75">
      <c r="B22" s="9" t="s">
        <v>42</v>
      </c>
      <c r="C22" s="9"/>
    </row>
    <row r="23" spans="2:3" ht="12.75">
      <c r="B23" s="22" t="s">
        <v>55</v>
      </c>
      <c r="C23" s="18">
        <f>0.3*qcyl/(sigult/2)</f>
        <v>0.9990630185935161</v>
      </c>
    </row>
    <row r="24" spans="2:3" ht="12.75">
      <c r="B24" s="40" t="s">
        <v>49</v>
      </c>
      <c r="C24" s="41"/>
    </row>
    <row r="25" spans="2:3" ht="12.75">
      <c r="B25" s="22" t="s">
        <v>50</v>
      </c>
      <c r="C25" s="15">
        <v>0.005</v>
      </c>
    </row>
    <row r="26" spans="2:3" ht="12.75">
      <c r="B26" s="36" t="s">
        <v>51</v>
      </c>
      <c r="C26" s="37">
        <f>SQRT(8*Ra*(d_1/2))</f>
        <v>1.4142135623730951</v>
      </c>
    </row>
    <row r="27" spans="2:12" ht="12.75">
      <c r="B27" s="13"/>
      <c r="C27" s="38"/>
      <c r="D27" s="38"/>
      <c r="E27" s="38"/>
      <c r="F27" s="38"/>
      <c r="G27" s="38"/>
      <c r="H27" s="38"/>
      <c r="I27" s="38"/>
      <c r="J27" s="38"/>
      <c r="K27" s="39"/>
      <c r="L27" s="39"/>
    </row>
    <row r="28" ht="12.75"/>
    <row r="29" spans="2:3" ht="12.75">
      <c r="B29" s="40" t="s">
        <v>54</v>
      </c>
      <c r="C29" s="41"/>
    </row>
    <row r="30" spans="2:3" ht="12.75">
      <c r="B30" s="22" t="s">
        <v>0</v>
      </c>
      <c r="C30" s="14">
        <f>d_1/2</f>
        <v>50</v>
      </c>
    </row>
    <row r="31" spans="2:3" ht="12.75">
      <c r="B31" s="22" t="s">
        <v>1</v>
      </c>
      <c r="C31" s="14">
        <f>d_1/2</f>
        <v>50</v>
      </c>
    </row>
    <row r="32" spans="2:3" ht="12.75">
      <c r="B32" s="22" t="s">
        <v>2</v>
      </c>
      <c r="C32" s="33">
        <v>1000</v>
      </c>
    </row>
    <row r="33" spans="2:3" ht="12.75">
      <c r="B33" s="22" t="s">
        <v>3</v>
      </c>
      <c r="C33" s="33">
        <f>Rtwomaj</f>
        <v>1000</v>
      </c>
    </row>
    <row r="34" spans="2:3" ht="12.75">
      <c r="B34" s="22" t="s">
        <v>4</v>
      </c>
      <c r="C34" s="15">
        <v>0</v>
      </c>
    </row>
    <row r="35" spans="2:3" ht="12.75">
      <c r="B35" s="29" t="s">
        <v>8</v>
      </c>
      <c r="C35" s="30">
        <f>re*SQRT((1/Ronemaj-1/Ronemin)^2+(1/Rtwomaj-1/Rtwomin)^2+2*(1/Ronemaj-1/Ronemin)*(1/Rtwomaj-1/Rtwomin)*COS(2*phi*PI()/180))</f>
        <v>0</v>
      </c>
    </row>
    <row r="36" spans="2:3" ht="12.75">
      <c r="B36" s="29" t="s">
        <v>9</v>
      </c>
      <c r="C36" s="30">
        <f>ACOS(C35)</f>
        <v>1.5707963267948966</v>
      </c>
    </row>
    <row r="37" spans="2:3" ht="12.75">
      <c r="B37" s="29" t="s">
        <v>10</v>
      </c>
      <c r="C37" s="30">
        <f>1.939*2.71831^(-5.26*theta_1)+1.78*2.71831^(-1.09*theta_1)+0.723/theta_1+0.221</f>
        <v>1.0030145953604</v>
      </c>
    </row>
    <row r="38" spans="2:3" ht="12.75">
      <c r="B38" s="29" t="s">
        <v>11</v>
      </c>
      <c r="C38" s="30">
        <f>35.228*2.71831^(-0.98*theta_1)-32.424*2.71831^(-1.0475*theta_1)+1.486*theta_1-2.634</f>
        <v>1.0014084128731353</v>
      </c>
    </row>
    <row r="39" spans="2:3" ht="12.75">
      <c r="B39" s="29" t="s">
        <v>12</v>
      </c>
      <c r="C39" s="30">
        <f>-0.214*2.71831^(-4.95*theta_1)-0.179*theta_1^2+0.555*theta_1+0.319</f>
        <v>0.7490373083770202</v>
      </c>
    </row>
    <row r="40" spans="2:3" ht="12.75">
      <c r="B40" s="22" t="s">
        <v>7</v>
      </c>
      <c r="C40" s="20">
        <f>1/(1/Ronemaj+1/Ronemin+1/Rtwomaj+1/Rtwomin)</f>
        <v>23.809523809523807</v>
      </c>
    </row>
    <row r="41" spans="2:3" ht="12.75">
      <c r="B41" s="22" t="s">
        <v>13</v>
      </c>
      <c r="C41" s="34">
        <f>alpha*(1.5*F*re/Ee)^0.333333</f>
        <v>10.161650403874358</v>
      </c>
    </row>
    <row r="42" spans="2:3" ht="12.75">
      <c r="B42" s="22" t="s">
        <v>14</v>
      </c>
      <c r="C42" s="34">
        <f>beta*(1.5*F*re/Ee)^0.333333</f>
        <v>10.145377993686205</v>
      </c>
    </row>
    <row r="43" spans="2:3" ht="12.75">
      <c r="B43" s="22" t="s">
        <v>21</v>
      </c>
      <c r="C43" s="34">
        <f>3*F/(2*PI()*cc*dd)</f>
        <v>291.54225333402877</v>
      </c>
    </row>
    <row r="44" spans="2:3" ht="12.75">
      <c r="B44" s="22" t="s">
        <v>15</v>
      </c>
      <c r="C44" s="18">
        <f>C43/C15</f>
        <v>1.1661690133361151</v>
      </c>
    </row>
    <row r="45" spans="2:3" ht="12.75">
      <c r="B45" s="22" t="s">
        <v>16</v>
      </c>
      <c r="C45" s="34"/>
    </row>
    <row r="46" spans="2:3" ht="12.75">
      <c r="B46" s="22" t="s">
        <v>17</v>
      </c>
      <c r="C46" s="23">
        <f>1000000*lambda*(2*F^2/(3*re*Ee^2))^0.33333</f>
        <v>2152647.412481292</v>
      </c>
    </row>
    <row r="47" spans="2:3" ht="12.75">
      <c r="B47" s="22" t="s">
        <v>18</v>
      </c>
      <c r="C47" s="23">
        <f>C10/C46</f>
        <v>0.02924285025702358</v>
      </c>
    </row>
    <row r="48" spans="2:3" ht="12.75">
      <c r="B48" s="22" t="s">
        <v>22</v>
      </c>
      <c r="C48" s="18">
        <f>cc</f>
        <v>10.161650403874358</v>
      </c>
    </row>
    <row r="49" spans="2:6" ht="12.75">
      <c r="B49" s="22" t="s">
        <v>23</v>
      </c>
      <c r="C49" s="35">
        <f>SQRT(2*(1+vone)/(7-2*vone))</f>
        <v>0.6339315096116493</v>
      </c>
      <c r="D49" s="1"/>
      <c r="E49" s="1"/>
      <c r="F49" s="32"/>
    </row>
    <row r="50" spans="2:6" ht="12.75">
      <c r="B50" s="22" t="s">
        <v>24</v>
      </c>
      <c r="C50" s="35">
        <f>(q/2)*((1-2*vone)/2+2*(1+vone)*SQRT(2*(1+vone))/9)/sigult</f>
        <v>0.39093183404866305</v>
      </c>
      <c r="D50" s="1"/>
      <c r="E50" s="1"/>
      <c r="F50" s="32"/>
    </row>
    <row r="51" spans="2:6" ht="12.75">
      <c r="B51" s="1"/>
      <c r="C51" s="1"/>
      <c r="D51" s="1"/>
      <c r="E51" s="1"/>
      <c r="F51" s="32"/>
    </row>
    <row r="52" spans="2:6" ht="12.75">
      <c r="B52" s="1"/>
      <c r="C52" s="1"/>
      <c r="D52" s="31"/>
      <c r="E52" s="32"/>
      <c r="F52" s="32"/>
    </row>
    <row r="53" spans="2:6" ht="12.75">
      <c r="B53" s="1"/>
      <c r="C53" s="1"/>
      <c r="D53" s="31"/>
      <c r="E53" s="32"/>
      <c r="F53" s="32"/>
    </row>
    <row r="54" spans="2:6" ht="12.75">
      <c r="B54" s="1"/>
      <c r="C54" s="1"/>
      <c r="D54" s="31"/>
      <c r="E54" s="32"/>
      <c r="F54" s="32"/>
    </row>
    <row r="55" spans="2:6" ht="12.75">
      <c r="B55" s="1"/>
      <c r="C55" s="1"/>
      <c r="D55" s="31"/>
      <c r="E55" s="32"/>
      <c r="F55" s="32"/>
    </row>
    <row r="56" spans="2:6" ht="12.75">
      <c r="B56" s="1"/>
      <c r="C56" s="1"/>
      <c r="D56" s="31"/>
      <c r="E56" s="32"/>
      <c r="F56" s="32"/>
    </row>
    <row r="57" spans="2:6" ht="12.75">
      <c r="B57" s="1"/>
      <c r="C57" s="1"/>
      <c r="D57" s="1"/>
      <c r="E57" s="1"/>
      <c r="F57" s="32"/>
    </row>
    <row r="58" spans="2:6" ht="12.75">
      <c r="B58" s="1"/>
      <c r="C58" s="1"/>
      <c r="D58" s="1"/>
      <c r="E58" s="1"/>
      <c r="F58" s="32"/>
    </row>
    <row r="59" spans="2:3" ht="12.75">
      <c r="B59" s="1"/>
      <c r="C59" s="1"/>
    </row>
    <row r="60" spans="2:3" ht="12.75">
      <c r="B60" s="1"/>
      <c r="C60" s="1"/>
    </row>
    <row r="61" spans="2:4" ht="12.75">
      <c r="B61" s="1"/>
      <c r="C61" s="1"/>
      <c r="D61"/>
    </row>
    <row r="62" spans="2:3" ht="12.75">
      <c r="B62" s="1"/>
      <c r="C62" s="1"/>
    </row>
    <row r="63" spans="2:3" ht="12.75">
      <c r="B63" s="1"/>
      <c r="C63" s="1"/>
    </row>
    <row r="64" spans="2:5" ht="12.75">
      <c r="B64" s="1"/>
      <c r="C64" s="1"/>
      <c r="E64" s="5"/>
    </row>
    <row r="65" spans="2:3" ht="12.75">
      <c r="B65" s="1"/>
      <c r="C65" s="1"/>
    </row>
    <row r="66" spans="2:4" ht="12.75">
      <c r="B66" s="1"/>
      <c r="C66" s="1"/>
      <c r="D66" s="5"/>
    </row>
    <row r="67" spans="2:3" ht="12.75">
      <c r="B67" s="1"/>
      <c r="C67" s="1"/>
    </row>
    <row r="68" ht="12.75">
      <c r="B68" s="2"/>
    </row>
    <row r="69" ht="12.75">
      <c r="B69" s="2"/>
    </row>
    <row r="70" ht="12.75">
      <c r="B70" s="2"/>
    </row>
    <row r="71" ht="12.75">
      <c r="D71" s="6"/>
    </row>
    <row r="72" spans="2:3" ht="12.75">
      <c r="B72" s="1"/>
      <c r="C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2"/>
      <c r="D126" s="1"/>
      <c r="E126" s="1"/>
      <c r="F126" s="1"/>
      <c r="G126" s="1"/>
      <c r="H126" s="1"/>
      <c r="I126" s="1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</sheetData>
  <sheetProtection password="E53C"/>
  <mergeCells count="6">
    <mergeCell ref="B29:C29"/>
    <mergeCell ref="B24:C24"/>
    <mergeCell ref="B5:C5"/>
    <mergeCell ref="B2:C2"/>
    <mergeCell ref="B3:C3"/>
    <mergeCell ref="B4:C4"/>
  </mergeCells>
  <printOptions gridLines="1" headings="1"/>
  <pageMargins left="0.75" right="0.75" top="1" bottom="1" header="0.5" footer="0.5"/>
  <pageSetup orientation="portrait" r:id="rId5"/>
  <headerFooter alignWithMargins="0">
    <oddHeader>&amp;C&amp;f</oddHeader>
    <oddFooter>&amp;CPage &amp;p</oddFooter>
  </headerFooter>
  <drawing r:id="rId4"/>
  <legacyDrawing r:id="rId3"/>
  <oleObjects>
    <oleObject progId="Equation.DSMT4" shapeId="13696881" r:id="rId1"/>
    <oleObject progId="Equation.DSMT4" shapeId="110108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">
      <selection activeCell="C5" sqref="C5"/>
    </sheetView>
  </sheetViews>
  <sheetFormatPr defaultColWidth="9.00390625" defaultRowHeight="12.75"/>
  <sheetData>
    <row r="2" spans="2:9" ht="12.75">
      <c r="B2" s="40" t="s">
        <v>40</v>
      </c>
      <c r="C2" s="48"/>
      <c r="D2" s="48"/>
      <c r="E2" s="48"/>
      <c r="F2" s="48"/>
      <c r="G2" s="48"/>
      <c r="H2" s="48"/>
      <c r="I2" s="41"/>
    </row>
    <row r="3" spans="2:9" ht="12.75">
      <c r="B3" s="8" t="s">
        <v>19</v>
      </c>
      <c r="C3" s="9">
        <f>0.1*B</f>
        <v>1.9254004935772902</v>
      </c>
      <c r="D3" s="49"/>
      <c r="E3" s="50"/>
      <c r="F3" s="50"/>
      <c r="G3" s="50"/>
      <c r="H3" s="50"/>
      <c r="I3" s="51"/>
    </row>
    <row r="4" spans="2:9" ht="14.25">
      <c r="B4" s="8" t="s">
        <v>20</v>
      </c>
      <c r="C4" s="11" t="s">
        <v>41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62</v>
      </c>
    </row>
    <row r="5" spans="2:9" ht="12.75">
      <c r="B5" s="9">
        <v>0</v>
      </c>
      <c r="C5" s="10">
        <f aca="true" t="shared" si="0" ref="C5:C36">B5/a</f>
        <v>0</v>
      </c>
      <c r="D5" s="10">
        <f aca="true" t="shared" si="1" ref="D5:D36">-2*qcyl*vone*(SQRT(1+C5^2)-C5)/sigult</f>
        <v>-0.9657609179737322</v>
      </c>
      <c r="E5" s="10">
        <f aca="true" t="shared" si="2" ref="E5:E36">-qcyl*((2-1/(1+C5^2))*SQRT(1+C5^2)-2*C5)/sigult</f>
        <v>-1.6651050309891935</v>
      </c>
      <c r="F5" s="10">
        <f aca="true" t="shared" si="3" ref="F5:F36">-qcyl*SQRT(1/(1+C5^2))/sigult</f>
        <v>-1.6651050309891935</v>
      </c>
      <c r="G5" s="10">
        <f aca="true" t="shared" si="4" ref="G5:G36">(E5-D5)/2</f>
        <v>-0.34967205650773064</v>
      </c>
      <c r="H5" s="10">
        <f aca="true" t="shared" si="5" ref="H5:H36">(F5-D5)/2</f>
        <v>-0.34967205650773064</v>
      </c>
      <c r="I5" s="10">
        <f aca="true" t="shared" si="6" ref="I5:I36">(F5-E5)/2</f>
        <v>0</v>
      </c>
    </row>
    <row r="6" spans="2:9" ht="12.75">
      <c r="B6" s="9">
        <f aca="true" t="shared" si="7" ref="B6:B37">B5+zinc</f>
        <v>1.9254004935772902</v>
      </c>
      <c r="C6" s="10">
        <f t="shared" si="0"/>
        <v>0.18947714367768329</v>
      </c>
      <c r="D6" s="10">
        <f t="shared" si="1"/>
        <v>-0.7999546059722111</v>
      </c>
      <c r="E6" s="10">
        <f t="shared" si="2"/>
        <v>-1.122467608149412</v>
      </c>
      <c r="F6" s="10">
        <f t="shared" si="3"/>
        <v>-1.6359965503754543</v>
      </c>
      <c r="G6" s="10">
        <f t="shared" si="4"/>
        <v>-0.16125650108860046</v>
      </c>
      <c r="H6" s="10">
        <f t="shared" si="5"/>
        <v>-0.4180209722016216</v>
      </c>
      <c r="I6" s="10">
        <f t="shared" si="6"/>
        <v>-0.25676447111302114</v>
      </c>
    </row>
    <row r="7" spans="2:9" ht="12.75">
      <c r="B7" s="9">
        <f t="shared" si="7"/>
        <v>3.8508009871545803</v>
      </c>
      <c r="C7" s="10">
        <f t="shared" si="0"/>
        <v>0.37895428735536657</v>
      </c>
      <c r="D7" s="10">
        <f t="shared" si="1"/>
        <v>-0.6668009661560799</v>
      </c>
      <c r="E7" s="10">
        <f t="shared" si="2"/>
        <v>-0.7422608272059039</v>
      </c>
      <c r="F7" s="10">
        <f t="shared" si="3"/>
        <v>-1.557052849194372</v>
      </c>
      <c r="G7" s="10">
        <f t="shared" si="4"/>
        <v>-0.037729930524912025</v>
      </c>
      <c r="H7" s="10">
        <f t="shared" si="5"/>
        <v>-0.4451259415191461</v>
      </c>
      <c r="I7" s="10">
        <f t="shared" si="6"/>
        <v>-0.40739601099423406</v>
      </c>
    </row>
    <row r="8" spans="2:9" ht="12.75">
      <c r="B8" s="9">
        <f t="shared" si="7"/>
        <v>5.776201480731871</v>
      </c>
      <c r="C8" s="10">
        <f t="shared" si="0"/>
        <v>0.5684314310330499</v>
      </c>
      <c r="D8" s="10">
        <f t="shared" si="1"/>
        <v>-0.5619141037798773</v>
      </c>
      <c r="E8" s="10">
        <f t="shared" si="2"/>
        <v>-0.4900535789063861</v>
      </c>
      <c r="F8" s="10">
        <f t="shared" si="3"/>
        <v>-1.4475812617138801</v>
      </c>
      <c r="G8" s="10">
        <f t="shared" si="4"/>
        <v>0.035930262436745575</v>
      </c>
      <c r="H8" s="10">
        <f t="shared" si="5"/>
        <v>-0.44283357896700143</v>
      </c>
      <c r="I8" s="10">
        <f t="shared" si="6"/>
        <v>-0.478763841403747</v>
      </c>
    </row>
    <row r="9" spans="2:9" ht="12.75">
      <c r="B9" s="9">
        <f t="shared" si="7"/>
        <v>7.701601974309161</v>
      </c>
      <c r="C9" s="10">
        <f t="shared" si="0"/>
        <v>0.7579085747107331</v>
      </c>
      <c r="D9" s="10">
        <f t="shared" si="1"/>
        <v>-0.4798407468981523</v>
      </c>
      <c r="E9" s="10">
        <f t="shared" si="2"/>
        <v>-0.3275937322001272</v>
      </c>
      <c r="F9" s="10">
        <f t="shared" si="3"/>
        <v>-1.3270295329659147</v>
      </c>
      <c r="G9" s="10">
        <f t="shared" si="4"/>
        <v>0.07612350734901255</v>
      </c>
      <c r="H9" s="10">
        <f t="shared" si="5"/>
        <v>-0.42359439303388124</v>
      </c>
      <c r="I9" s="10">
        <f t="shared" si="6"/>
        <v>-0.49971790038289376</v>
      </c>
    </row>
    <row r="10" spans="2:9" ht="12.75">
      <c r="B10" s="9">
        <f t="shared" si="7"/>
        <v>9.62700246788645</v>
      </c>
      <c r="C10" s="10">
        <f t="shared" si="0"/>
        <v>0.9473857183884165</v>
      </c>
      <c r="D10" s="10">
        <f t="shared" si="1"/>
        <v>-0.4153992890279351</v>
      </c>
      <c r="E10" s="10">
        <f t="shared" si="2"/>
        <v>-0.22363431434345732</v>
      </c>
      <c r="F10" s="10">
        <f t="shared" si="3"/>
        <v>-1.2087770271321805</v>
      </c>
      <c r="G10" s="10">
        <f t="shared" si="4"/>
        <v>0.09588248734223889</v>
      </c>
      <c r="H10" s="10">
        <f t="shared" si="5"/>
        <v>-0.3966888690521227</v>
      </c>
      <c r="I10" s="10">
        <f t="shared" si="6"/>
        <v>-0.49257135639436156</v>
      </c>
    </row>
    <row r="11" spans="2:9" ht="12.75">
      <c r="B11" s="9">
        <f t="shared" si="7"/>
        <v>11.552402961463741</v>
      </c>
      <c r="C11" s="10">
        <f t="shared" si="0"/>
        <v>1.1368628620660999</v>
      </c>
      <c r="D11" s="10">
        <f t="shared" si="1"/>
        <v>-0.3643076037238336</v>
      </c>
      <c r="E11" s="10">
        <f t="shared" si="2"/>
        <v>-0.15649059309280072</v>
      </c>
      <c r="F11" s="10">
        <f t="shared" si="3"/>
        <v>-1.099742523196281</v>
      </c>
      <c r="G11" s="10">
        <f t="shared" si="4"/>
        <v>0.10390850531551643</v>
      </c>
      <c r="H11" s="10">
        <f t="shared" si="5"/>
        <v>-0.3677174597362237</v>
      </c>
      <c r="I11" s="10">
        <f t="shared" si="6"/>
        <v>-0.47162596505174015</v>
      </c>
    </row>
    <row r="12" spans="2:9" ht="12.75">
      <c r="B12" s="9">
        <f t="shared" si="7"/>
        <v>13.477803455041032</v>
      </c>
      <c r="C12" s="10">
        <f t="shared" si="0"/>
        <v>1.326340005743783</v>
      </c>
      <c r="D12" s="10">
        <f t="shared" si="1"/>
        <v>-0.3232762007266828</v>
      </c>
      <c r="E12" s="10">
        <f t="shared" si="2"/>
        <v>-0.11232075198589264</v>
      </c>
      <c r="F12" s="10">
        <f t="shared" si="3"/>
        <v>-1.0024247677612896</v>
      </c>
      <c r="G12" s="10">
        <f t="shared" si="4"/>
        <v>0.10547772437039507</v>
      </c>
      <c r="H12" s="10">
        <f t="shared" si="5"/>
        <v>-0.33957428351730345</v>
      </c>
      <c r="I12" s="10">
        <f t="shared" si="6"/>
        <v>-0.4450520078876985</v>
      </c>
    </row>
    <row r="13" spans="2:9" ht="12.75">
      <c r="B13" s="9">
        <f t="shared" si="7"/>
        <v>15.403203948618323</v>
      </c>
      <c r="C13" s="10">
        <f t="shared" si="0"/>
        <v>1.5158171494214665</v>
      </c>
      <c r="D13" s="10">
        <f t="shared" si="1"/>
        <v>-0.2898638174839828</v>
      </c>
      <c r="E13" s="10">
        <f t="shared" si="2"/>
        <v>-0.08260088785226122</v>
      </c>
      <c r="F13" s="10">
        <f t="shared" si="3"/>
        <v>-0.9169295172649213</v>
      </c>
      <c r="G13" s="10">
        <f t="shared" si="4"/>
        <v>0.1036314648158608</v>
      </c>
      <c r="H13" s="10">
        <f t="shared" si="5"/>
        <v>-0.31353284989046926</v>
      </c>
      <c r="I13" s="10">
        <f t="shared" si="6"/>
        <v>-0.4171643147063301</v>
      </c>
    </row>
    <row r="14" spans="2:9" ht="12.75">
      <c r="B14" s="9">
        <f t="shared" si="7"/>
        <v>17.328604442195612</v>
      </c>
      <c r="C14" s="10">
        <f t="shared" si="0"/>
        <v>1.7052942930991497</v>
      </c>
      <c r="D14" s="10">
        <f t="shared" si="1"/>
        <v>-0.2622805331259591</v>
      </c>
      <c r="E14" s="10">
        <f t="shared" si="2"/>
        <v>-0.06212345875368358</v>
      </c>
      <c r="F14" s="10">
        <f t="shared" si="3"/>
        <v>-0.8422921727151411</v>
      </c>
      <c r="G14" s="10">
        <f t="shared" si="4"/>
        <v>0.10007853718613777</v>
      </c>
      <c r="H14" s="10">
        <f t="shared" si="5"/>
        <v>-0.290005819794591</v>
      </c>
      <c r="I14" s="10">
        <f t="shared" si="6"/>
        <v>-0.39008435698072874</v>
      </c>
    </row>
    <row r="15" spans="2:9" ht="12.75">
      <c r="B15" s="9">
        <f t="shared" si="7"/>
        <v>19.2540049357729</v>
      </c>
      <c r="C15" s="10">
        <f t="shared" si="0"/>
        <v>1.894771436776833</v>
      </c>
      <c r="D15" s="10">
        <f t="shared" si="1"/>
        <v>-0.2392133312814883</v>
      </c>
      <c r="E15" s="10">
        <f t="shared" si="2"/>
        <v>-0.047682529142250005</v>
      </c>
      <c r="F15" s="10">
        <f t="shared" si="3"/>
        <v>-0.7771910270008131</v>
      </c>
      <c r="G15" s="10">
        <f t="shared" si="4"/>
        <v>0.09576540106961914</v>
      </c>
      <c r="H15" s="10">
        <f t="shared" si="5"/>
        <v>-0.26898884785966237</v>
      </c>
      <c r="I15" s="10">
        <f t="shared" si="6"/>
        <v>-0.36475424892928154</v>
      </c>
    </row>
    <row r="16" spans="2:9" ht="12.75">
      <c r="B16" s="9">
        <f t="shared" si="7"/>
        <v>21.17940542935019</v>
      </c>
      <c r="C16" s="10">
        <f t="shared" si="0"/>
        <v>2.084248580454516</v>
      </c>
      <c r="D16" s="10">
        <f t="shared" si="1"/>
        <v>-0.2196919443818132</v>
      </c>
      <c r="E16" s="10">
        <f t="shared" si="2"/>
        <v>-0.03727294222599028</v>
      </c>
      <c r="F16" s="10">
        <f t="shared" si="3"/>
        <v>-0.7202854866768144</v>
      </c>
      <c r="G16" s="10">
        <f t="shared" si="4"/>
        <v>0.09120950107791145</v>
      </c>
      <c r="H16" s="10">
        <f t="shared" si="5"/>
        <v>-0.2502967711475006</v>
      </c>
      <c r="I16" s="10">
        <f t="shared" si="6"/>
        <v>-0.341506272225412</v>
      </c>
    </row>
    <row r="17" spans="2:9" ht="12.75">
      <c r="B17" s="9">
        <f t="shared" si="7"/>
        <v>23.10480592292748</v>
      </c>
      <c r="C17" s="10">
        <f t="shared" si="0"/>
        <v>2.2737257241321993</v>
      </c>
      <c r="D17" s="10">
        <f t="shared" si="1"/>
        <v>-0.20299160459459178</v>
      </c>
      <c r="E17" s="10">
        <f t="shared" si="2"/>
        <v>-0.029615698553220143</v>
      </c>
      <c r="F17" s="10">
        <f t="shared" si="3"/>
        <v>-0.6703553517729585</v>
      </c>
      <c r="G17" s="10">
        <f t="shared" si="4"/>
        <v>0.08668795302068583</v>
      </c>
      <c r="H17" s="10">
        <f t="shared" si="5"/>
        <v>-0.23368187358918335</v>
      </c>
      <c r="I17" s="10">
        <f t="shared" si="6"/>
        <v>-0.3203698266098692</v>
      </c>
    </row>
    <row r="18" spans="2:9" ht="12.75">
      <c r="B18" s="9">
        <f t="shared" si="7"/>
        <v>25.030206416504768</v>
      </c>
      <c r="C18" s="10">
        <f t="shared" si="0"/>
        <v>2.4632028678098825</v>
      </c>
      <c r="D18" s="10">
        <f t="shared" si="1"/>
        <v>-0.18856422302397832</v>
      </c>
      <c r="E18" s="10">
        <f t="shared" si="2"/>
        <v>-0.023877678896991175</v>
      </c>
      <c r="F18" s="10">
        <f t="shared" si="3"/>
        <v>-0.6263437798063818</v>
      </c>
      <c r="G18" s="10">
        <f t="shared" si="4"/>
        <v>0.08234327206349357</v>
      </c>
      <c r="H18" s="10">
        <f t="shared" si="5"/>
        <v>-0.21888977839120172</v>
      </c>
      <c r="I18" s="10">
        <f t="shared" si="6"/>
        <v>-0.3012330504546953</v>
      </c>
    </row>
    <row r="19" spans="2:9" ht="12.75">
      <c r="B19" s="9">
        <f t="shared" si="7"/>
        <v>26.955606910082057</v>
      </c>
      <c r="C19" s="10">
        <f t="shared" si="0"/>
        <v>2.6526800114875657</v>
      </c>
      <c r="D19" s="10">
        <f t="shared" si="1"/>
        <v>-0.1759900108239291</v>
      </c>
      <c r="E19" s="10">
        <f t="shared" si="2"/>
        <v>-0.01950469814741835</v>
      </c>
      <c r="F19" s="10">
        <f t="shared" si="3"/>
        <v>-0.5873574081419924</v>
      </c>
      <c r="G19" s="10">
        <f t="shared" si="4"/>
        <v>0.07824265633825538</v>
      </c>
      <c r="H19" s="10">
        <f t="shared" si="5"/>
        <v>-0.2056836986590317</v>
      </c>
      <c r="I19" s="10">
        <f t="shared" si="6"/>
        <v>-0.283926354997287</v>
      </c>
    </row>
    <row r="20" spans="2:9" ht="12.75">
      <c r="B20" s="9">
        <f t="shared" si="7"/>
        <v>28.881007403659346</v>
      </c>
      <c r="C20" s="10">
        <f t="shared" si="0"/>
        <v>2.842157155165249</v>
      </c>
      <c r="D20" s="10">
        <f t="shared" si="1"/>
        <v>-0.16494338656288318</v>
      </c>
      <c r="E20" s="10">
        <f t="shared" si="2"/>
        <v>-0.016120574628156543</v>
      </c>
      <c r="F20" s="10">
        <f t="shared" si="3"/>
        <v>-0.5526497238645441</v>
      </c>
      <c r="G20" s="10">
        <f t="shared" si="4"/>
        <v>0.07441140596736331</v>
      </c>
      <c r="H20" s="10">
        <f t="shared" si="5"/>
        <v>-0.19385316865083047</v>
      </c>
      <c r="I20" s="10">
        <f t="shared" si="6"/>
        <v>-0.2682645746181938</v>
      </c>
    </row>
    <row r="21" spans="2:9" ht="12.75">
      <c r="B21" s="9">
        <f t="shared" si="7"/>
        <v>30.806407897236635</v>
      </c>
      <c r="C21" s="10">
        <f t="shared" si="0"/>
        <v>3.031634298842932</v>
      </c>
      <c r="D21" s="10">
        <f t="shared" si="1"/>
        <v>-0.155168774246213</v>
      </c>
      <c r="E21" s="10">
        <f t="shared" si="2"/>
        <v>-0.013465012489602038</v>
      </c>
      <c r="F21" s="10">
        <f t="shared" si="3"/>
        <v>-0.5215997262904424</v>
      </c>
      <c r="G21" s="10">
        <f t="shared" si="4"/>
        <v>0.07085188087830549</v>
      </c>
      <c r="H21" s="10">
        <f t="shared" si="5"/>
        <v>-0.1832154760221147</v>
      </c>
      <c r="I21" s="10">
        <f t="shared" si="6"/>
        <v>-0.25406735690042015</v>
      </c>
    </row>
    <row r="22" spans="2:9" ht="12.75">
      <c r="B22" s="9">
        <f t="shared" si="7"/>
        <v>32.731808390813924</v>
      </c>
      <c r="C22" s="10">
        <f t="shared" si="0"/>
        <v>3.2211114425206153</v>
      </c>
      <c r="D22" s="10">
        <f t="shared" si="1"/>
        <v>-0.14646325220020706</v>
      </c>
      <c r="E22" s="10">
        <f t="shared" si="2"/>
        <v>-0.01135463960720707</v>
      </c>
      <c r="F22" s="10">
        <f t="shared" si="3"/>
        <v>-0.4936910576348869</v>
      </c>
      <c r="G22" s="10">
        <f t="shared" si="4"/>
        <v>0.0675543062965</v>
      </c>
      <c r="H22" s="10">
        <f t="shared" si="5"/>
        <v>-0.17361390271733992</v>
      </c>
      <c r="I22" s="10">
        <f t="shared" si="6"/>
        <v>-0.24116820901383992</v>
      </c>
    </row>
    <row r="23" spans="2:9" ht="12.75">
      <c r="B23" s="9">
        <f t="shared" si="7"/>
        <v>34.65720888439122</v>
      </c>
      <c r="C23" s="10">
        <f t="shared" si="0"/>
        <v>3.4105885861982985</v>
      </c>
      <c r="D23" s="10">
        <f t="shared" si="1"/>
        <v>-0.13866397504553107</v>
      </c>
      <c r="E23" s="10">
        <f t="shared" si="2"/>
        <v>-0.009658098820345525</v>
      </c>
      <c r="F23" s="10">
        <f t="shared" si="3"/>
        <v>-0.4684935392676928</v>
      </c>
      <c r="G23" s="10">
        <f t="shared" si="4"/>
        <v>0.06450293811259278</v>
      </c>
      <c r="H23" s="10">
        <f t="shared" si="5"/>
        <v>-0.16491478211108088</v>
      </c>
      <c r="I23" s="10">
        <f t="shared" si="6"/>
        <v>-0.22941772022367365</v>
      </c>
    </row>
    <row r="24" spans="2:9" ht="12.75">
      <c r="B24" s="9">
        <f t="shared" si="7"/>
        <v>36.58260937796851</v>
      </c>
      <c r="C24" s="10">
        <f t="shared" si="0"/>
        <v>3.600065729875982</v>
      </c>
      <c r="D24" s="10">
        <f t="shared" si="1"/>
        <v>-0.13163895025347697</v>
      </c>
      <c r="E24" s="10">
        <f t="shared" si="2"/>
        <v>-0.008279824472430366</v>
      </c>
      <c r="F24" s="10">
        <f t="shared" si="3"/>
        <v>-0.4456475901947324</v>
      </c>
      <c r="G24" s="10">
        <f t="shared" si="4"/>
        <v>0.0616795628905233</v>
      </c>
      <c r="H24" s="10">
        <f t="shared" si="5"/>
        <v>-0.1570043199706277</v>
      </c>
      <c r="I24" s="10">
        <f t="shared" si="6"/>
        <v>-0.218683882861151</v>
      </c>
    </row>
    <row r="25" spans="2:9" ht="12.75">
      <c r="B25" s="9">
        <f t="shared" si="7"/>
        <v>38.5080098715458</v>
      </c>
      <c r="C25" s="10">
        <f t="shared" si="0"/>
        <v>3.789542873553666</v>
      </c>
      <c r="D25" s="10">
        <f t="shared" si="1"/>
        <v>-0.12528019649201907</v>
      </c>
      <c r="E25" s="10">
        <f t="shared" si="2"/>
        <v>-0.007149285559069715</v>
      </c>
      <c r="F25" s="10">
        <f t="shared" si="3"/>
        <v>-0.4248513919996162</v>
      </c>
      <c r="G25" s="10">
        <f t="shared" si="4"/>
        <v>0.05906545546647468</v>
      </c>
      <c r="H25" s="10">
        <f t="shared" si="5"/>
        <v>-0.14978559775379857</v>
      </c>
      <c r="I25" s="10">
        <f t="shared" si="6"/>
        <v>-0.20885105322027323</v>
      </c>
    </row>
    <row r="26" spans="2:9" ht="12.75">
      <c r="B26" s="9">
        <f t="shared" si="7"/>
        <v>40.433410365123095</v>
      </c>
      <c r="C26" s="10">
        <f t="shared" si="0"/>
        <v>3.9790200172313495</v>
      </c>
      <c r="D26" s="10">
        <f t="shared" si="1"/>
        <v>-0.11949861151144162</v>
      </c>
      <c r="E26" s="10">
        <f t="shared" si="2"/>
        <v>-0.006213731636348247</v>
      </c>
      <c r="F26" s="10">
        <f t="shared" si="3"/>
        <v>-0.4058504459893112</v>
      </c>
      <c r="G26" s="10">
        <f t="shared" si="4"/>
        <v>0.05664243993754668</v>
      </c>
      <c r="H26" s="10">
        <f t="shared" si="5"/>
        <v>-0.1431759172389348</v>
      </c>
      <c r="I26" s="10">
        <f t="shared" si="6"/>
        <v>-0.19981835717648147</v>
      </c>
    </row>
    <row r="27" spans="2:9" ht="12.75">
      <c r="B27" s="9">
        <f t="shared" si="7"/>
        <v>42.35881085870039</v>
      </c>
      <c r="C27" s="10">
        <f t="shared" si="0"/>
        <v>4.168497160909033</v>
      </c>
      <c r="D27" s="10">
        <f t="shared" si="1"/>
        <v>-0.11422008064900148</v>
      </c>
      <c r="E27" s="10">
        <f t="shared" si="2"/>
        <v>-0.005433222096929192</v>
      </c>
      <c r="F27" s="10">
        <f t="shared" si="3"/>
        <v>-0.38842912496859355</v>
      </c>
      <c r="G27" s="10">
        <f t="shared" si="4"/>
        <v>0.054393429276036145</v>
      </c>
      <c r="H27" s="10">
        <f t="shared" si="5"/>
        <v>-0.13710452215979604</v>
      </c>
      <c r="I27" s="10">
        <f t="shared" si="6"/>
        <v>-0.19149795143583218</v>
      </c>
    </row>
    <row r="28" spans="2:9" ht="12.75">
      <c r="B28" s="9">
        <f t="shared" si="7"/>
        <v>44.28421135227768</v>
      </c>
      <c r="C28" s="10">
        <f t="shared" si="0"/>
        <v>4.357974304586716</v>
      </c>
      <c r="D28" s="10">
        <f t="shared" si="1"/>
        <v>-0.10938249551457531</v>
      </c>
      <c r="E28" s="10">
        <f t="shared" si="2"/>
        <v>-0.004777168548538739</v>
      </c>
      <c r="F28" s="10">
        <f t="shared" si="3"/>
        <v>-0.3724038504672368</v>
      </c>
      <c r="G28" s="10">
        <f t="shared" si="4"/>
        <v>0.052302663483018284</v>
      </c>
      <c r="H28" s="10">
        <f t="shared" si="5"/>
        <v>-0.13151067747633075</v>
      </c>
      <c r="I28" s="10">
        <f t="shared" si="6"/>
        <v>-0.18381334095934904</v>
      </c>
    </row>
    <row r="29" spans="2:9" ht="12.75">
      <c r="B29" s="9">
        <f t="shared" si="7"/>
        <v>46.20961184585497</v>
      </c>
      <c r="C29" s="10">
        <f t="shared" si="0"/>
        <v>4.5474514482643995</v>
      </c>
      <c r="D29" s="10">
        <f t="shared" si="1"/>
        <v>-0.1049334475453964</v>
      </c>
      <c r="E29" s="10">
        <f t="shared" si="2"/>
        <v>-0.004221895588707874</v>
      </c>
      <c r="F29" s="10">
        <f t="shared" si="3"/>
        <v>-0.3576175787057646</v>
      </c>
      <c r="G29" s="10">
        <f t="shared" si="4"/>
        <v>0.05035577597834426</v>
      </c>
      <c r="H29" s="10">
        <f t="shared" si="5"/>
        <v>-0.1263420655801841</v>
      </c>
      <c r="I29" s="10">
        <f t="shared" si="6"/>
        <v>-0.17669784155852836</v>
      </c>
    </row>
    <row r="30" spans="2:9" ht="12.75">
      <c r="B30" s="9">
        <f t="shared" si="7"/>
        <v>48.135012339432265</v>
      </c>
      <c r="C30" s="10">
        <f t="shared" si="0"/>
        <v>4.736928591942084</v>
      </c>
      <c r="D30" s="10">
        <f t="shared" si="1"/>
        <v>-0.10082842708800549</v>
      </c>
      <c r="E30" s="10">
        <f t="shared" si="2"/>
        <v>-0.0037488971583808078</v>
      </c>
      <c r="F30" s="10">
        <f t="shared" si="3"/>
        <v>-0.34393533417956984</v>
      </c>
      <c r="G30" s="10">
        <f t="shared" si="4"/>
        <v>0.04853976496481234</v>
      </c>
      <c r="H30" s="10">
        <f t="shared" si="5"/>
        <v>-0.12155345354578218</v>
      </c>
      <c r="I30" s="10">
        <f t="shared" si="6"/>
        <v>-0.17009321851059453</v>
      </c>
    </row>
    <row r="31" spans="2:9" ht="12.75">
      <c r="B31" s="9">
        <f t="shared" si="7"/>
        <v>50.06041283300956</v>
      </c>
      <c r="C31" s="10">
        <f t="shared" si="0"/>
        <v>4.926405735619767</v>
      </c>
      <c r="D31" s="10">
        <f t="shared" si="1"/>
        <v>-0.0970294048750451</v>
      </c>
      <c r="E31" s="10">
        <f t="shared" si="2"/>
        <v>-0.0033435746108302963</v>
      </c>
      <c r="F31" s="10">
        <f t="shared" si="3"/>
        <v>-0.33124058013070357</v>
      </c>
      <c r="G31" s="10">
        <f t="shared" si="4"/>
        <v>0.04684291513210741</v>
      </c>
      <c r="H31" s="10">
        <f t="shared" si="5"/>
        <v>-0.11710558762782923</v>
      </c>
      <c r="I31" s="10">
        <f t="shared" si="6"/>
        <v>-0.16394850275993664</v>
      </c>
    </row>
    <row r="32" spans="2:9" ht="12.75">
      <c r="B32" s="9">
        <f t="shared" si="7"/>
        <v>51.98581332658685</v>
      </c>
      <c r="C32" s="10">
        <f t="shared" si="0"/>
        <v>5.115882879297451</v>
      </c>
      <c r="D32" s="10">
        <f t="shared" si="1"/>
        <v>-0.09350370546153874</v>
      </c>
      <c r="E32" s="10">
        <f t="shared" si="2"/>
        <v>-0.002994312765264647</v>
      </c>
      <c r="F32" s="10">
        <f t="shared" si="3"/>
        <v>-0.31943225779176576</v>
      </c>
      <c r="G32" s="10">
        <f t="shared" si="4"/>
        <v>0.04525469634813705</v>
      </c>
      <c r="H32" s="10">
        <f t="shared" si="5"/>
        <v>-0.11296427616511351</v>
      </c>
      <c r="I32" s="10">
        <f t="shared" si="6"/>
        <v>-0.15821897251325057</v>
      </c>
    </row>
    <row r="33" spans="2:9" ht="12.75">
      <c r="B33" s="9">
        <f t="shared" si="7"/>
        <v>53.91121382016414</v>
      </c>
      <c r="C33" s="10">
        <f t="shared" si="0"/>
        <v>5.305360022975134</v>
      </c>
      <c r="D33" s="10">
        <f t="shared" si="1"/>
        <v>-0.0902231055541791</v>
      </c>
      <c r="E33" s="10">
        <f t="shared" si="2"/>
        <v>-0.0026917960279714513</v>
      </c>
      <c r="F33" s="10">
        <f t="shared" si="3"/>
        <v>-0.3084223610554038</v>
      </c>
      <c r="G33" s="10">
        <f t="shared" si="4"/>
        <v>0.043765654763103824</v>
      </c>
      <c r="H33" s="10">
        <f t="shared" si="5"/>
        <v>-0.10909962775061235</v>
      </c>
      <c r="I33" s="10">
        <f t="shared" si="6"/>
        <v>-0.1528652825137162</v>
      </c>
    </row>
    <row r="34" spans="2:9" ht="12.75">
      <c r="B34" s="9">
        <f t="shared" si="7"/>
        <v>55.836614313741435</v>
      </c>
      <c r="C34" s="10">
        <f t="shared" si="0"/>
        <v>5.494837166652817</v>
      </c>
      <c r="D34" s="10">
        <f t="shared" si="1"/>
        <v>-0.08716310703380532</v>
      </c>
      <c r="E34" s="10">
        <f t="shared" si="2"/>
        <v>-0.002428497012450027</v>
      </c>
      <c r="F34" s="10">
        <f t="shared" si="3"/>
        <v>-0.2981339410351558</v>
      </c>
      <c r="G34" s="10">
        <f t="shared" si="4"/>
        <v>0.04236730501067765</v>
      </c>
      <c r="H34" s="10">
        <f t="shared" si="5"/>
        <v>-0.10548541700067524</v>
      </c>
      <c r="I34" s="10">
        <f t="shared" si="6"/>
        <v>-0.14785272201135288</v>
      </c>
    </row>
    <row r="35" spans="2:9" ht="12.75">
      <c r="B35" s="9">
        <f t="shared" si="7"/>
        <v>57.76201480731873</v>
      </c>
      <c r="C35" s="10">
        <f t="shared" si="0"/>
        <v>5.684314310330501</v>
      </c>
      <c r="D35" s="10">
        <f t="shared" si="1"/>
        <v>-0.08430234676130904</v>
      </c>
      <c r="E35" s="10">
        <f t="shared" si="2"/>
        <v>-0.0021982904631933395</v>
      </c>
      <c r="F35" s="10">
        <f t="shared" si="3"/>
        <v>-0.28849945698959545</v>
      </c>
      <c r="G35" s="10">
        <f t="shared" si="4"/>
        <v>0.041052028149057854</v>
      </c>
      <c r="H35" s="10">
        <f t="shared" si="5"/>
        <v>-0.1020985551141432</v>
      </c>
      <c r="I35" s="10">
        <f t="shared" si="6"/>
        <v>-0.14315058326320104</v>
      </c>
    </row>
    <row r="36" spans="2:9" ht="12.75">
      <c r="B36" s="9">
        <f t="shared" si="7"/>
        <v>59.68741530089602</v>
      </c>
      <c r="C36" s="10">
        <f t="shared" si="0"/>
        <v>5.873791454008185</v>
      </c>
      <c r="D36" s="10">
        <f t="shared" si="1"/>
        <v>-0.08162211429511898</v>
      </c>
      <c r="E36" s="10">
        <f t="shared" si="2"/>
        <v>-0.0019961591383583525</v>
      </c>
      <c r="F36" s="10">
        <f t="shared" si="3"/>
        <v>-0.27945940739653513</v>
      </c>
      <c r="G36" s="10">
        <f t="shared" si="4"/>
        <v>0.039812977578380315</v>
      </c>
      <c r="H36" s="10">
        <f t="shared" si="5"/>
        <v>-0.09891864655070808</v>
      </c>
      <c r="I36" s="10">
        <f t="shared" si="6"/>
        <v>-0.13873162412908838</v>
      </c>
    </row>
    <row r="37" spans="2:9" ht="12.75">
      <c r="B37" s="9">
        <f t="shared" si="7"/>
        <v>61.61281579447331</v>
      </c>
      <c r="C37" s="10">
        <f aca="true" t="shared" si="8" ref="C37:C68">B37/a</f>
        <v>6.063268597685868</v>
      </c>
      <c r="D37" s="10">
        <f aca="true" t="shared" si="9" ref="D37:D68">-2*qcyl*vone*(SQRT(1+C37^2)-C37)/sigult</f>
        <v>-0.07910595535364828</v>
      </c>
      <c r="E37" s="10">
        <f aca="true" t="shared" si="10" ref="E37:E55">-qcyl*((2-1/(1+C37^2))*SQRT(1+C37^2)-2*C37)/sigult</f>
        <v>-0.0018179678355262473</v>
      </c>
      <c r="F37" s="10">
        <f aca="true" t="shared" si="11" ref="F37:F55">-qcyl*SQRT(1/(1+C37^2))/sigult</f>
        <v>-0.2709611885563653</v>
      </c>
      <c r="G37" s="10">
        <f aca="true" t="shared" si="12" ref="G37:G55">(E37-D37)/2</f>
        <v>0.03864399375906102</v>
      </c>
      <c r="H37" s="10">
        <f aca="true" t="shared" si="13" ref="H37:H55">(F37-D37)/2</f>
        <v>-0.09592761660135851</v>
      </c>
      <c r="I37" s="10">
        <f aca="true" t="shared" si="14" ref="I37:I55">(F37-E37)/2</f>
        <v>-0.13457161036041954</v>
      </c>
    </row>
    <row r="38" spans="2:9" ht="12.75">
      <c r="B38" s="9">
        <f aca="true" t="shared" si="15" ref="B38:B55">B37+zinc</f>
        <v>63.538216288050606</v>
      </c>
      <c r="C38" s="10">
        <f t="shared" si="8"/>
        <v>6.252745741363552</v>
      </c>
      <c r="D38" s="10">
        <f t="shared" si="9"/>
        <v>-0.07673934387293481</v>
      </c>
      <c r="E38" s="10">
        <f t="shared" si="10"/>
        <v>-0.0016602883757147672</v>
      </c>
      <c r="F38" s="10">
        <f t="shared" si="11"/>
        <v>-0.2629581387723382</v>
      </c>
      <c r="G38" s="10">
        <f t="shared" si="12"/>
        <v>0.037539527748610024</v>
      </c>
      <c r="H38" s="10">
        <f t="shared" si="13"/>
        <v>-0.0931093974497017</v>
      </c>
      <c r="I38" s="10">
        <f t="shared" si="14"/>
        <v>-0.13064892519831173</v>
      </c>
    </row>
    <row r="39" spans="2:9" ht="12.75">
      <c r="B39" s="9">
        <f t="shared" si="15"/>
        <v>65.46361678162789</v>
      </c>
      <c r="C39" s="10">
        <f t="shared" si="8"/>
        <v>6.442222885041234</v>
      </c>
      <c r="D39" s="10">
        <f t="shared" si="9"/>
        <v>-0.07450940929390701</v>
      </c>
      <c r="E39" s="10">
        <f t="shared" si="10"/>
        <v>-0.0015202630247143577</v>
      </c>
      <c r="F39" s="10">
        <f t="shared" si="11"/>
        <v>-0.255408734540481</v>
      </c>
      <c r="G39" s="10">
        <f t="shared" si="12"/>
        <v>0.03649457313459632</v>
      </c>
      <c r="H39" s="10">
        <f t="shared" si="13"/>
        <v>-0.090449662623287</v>
      </c>
      <c r="I39" s="10">
        <f t="shared" si="14"/>
        <v>-0.12694423575788333</v>
      </c>
    </row>
    <row r="40" spans="2:9" ht="12.75">
      <c r="B40" s="9">
        <f t="shared" si="15"/>
        <v>67.38901727520518</v>
      </c>
      <c r="C40" s="10">
        <f t="shared" si="8"/>
        <v>6.631700028718917</v>
      </c>
      <c r="D40" s="10">
        <f t="shared" si="9"/>
        <v>-0.07240470859017394</v>
      </c>
      <c r="E40" s="10">
        <f t="shared" si="10"/>
        <v>-0.0013954971449011357</v>
      </c>
      <c r="F40" s="10">
        <f t="shared" si="11"/>
        <v>-0.24827591178673541</v>
      </c>
      <c r="G40" s="10">
        <f t="shared" si="12"/>
        <v>0.0355046057226364</v>
      </c>
      <c r="H40" s="10">
        <f t="shared" si="13"/>
        <v>-0.08793560159828073</v>
      </c>
      <c r="I40" s="10">
        <f t="shared" si="14"/>
        <v>-0.12344020732091714</v>
      </c>
    </row>
    <row r="41" spans="2:9" ht="12.75">
      <c r="B41" s="9">
        <f t="shared" si="15"/>
        <v>69.31441776878246</v>
      </c>
      <c r="C41" s="10">
        <f t="shared" si="8"/>
        <v>6.821177172396601</v>
      </c>
      <c r="D41" s="10">
        <f t="shared" si="9"/>
        <v>-0.07041503475000654</v>
      </c>
      <c r="E41" s="10">
        <f t="shared" si="10"/>
        <v>-0.0012839742482558538</v>
      </c>
      <c r="F41" s="10">
        <f t="shared" si="11"/>
        <v>-0.24152649040693996</v>
      </c>
      <c r="G41" s="10">
        <f t="shared" si="12"/>
        <v>0.034565530250875345</v>
      </c>
      <c r="H41" s="10">
        <f t="shared" si="13"/>
        <v>-0.08555572782846671</v>
      </c>
      <c r="I41" s="10">
        <f t="shared" si="14"/>
        <v>-0.12012125807934206</v>
      </c>
    </row>
    <row r="42" spans="2:9" ht="12.75">
      <c r="B42" s="9">
        <f t="shared" si="15"/>
        <v>71.23981826235975</v>
      </c>
      <c r="C42" s="10">
        <f t="shared" si="8"/>
        <v>7.010654316074283</v>
      </c>
      <c r="D42" s="10">
        <f t="shared" si="9"/>
        <v>-0.06853125512501375</v>
      </c>
      <c r="E42" s="10">
        <f t="shared" si="10"/>
        <v>-0.0011839883434144917</v>
      </c>
      <c r="F42" s="10">
        <f t="shared" si="11"/>
        <v>-0.23513068450146174</v>
      </c>
      <c r="G42" s="10">
        <f t="shared" si="12"/>
        <v>0.03367363339079963</v>
      </c>
      <c r="H42" s="10">
        <f t="shared" si="13"/>
        <v>-0.083299714688224</v>
      </c>
      <c r="I42" s="10">
        <f t="shared" si="14"/>
        <v>-0.11697334807902363</v>
      </c>
    </row>
    <row r="43" spans="2:9" ht="12.75">
      <c r="B43" s="9">
        <f t="shared" si="15"/>
        <v>73.16521875593703</v>
      </c>
      <c r="C43" s="10">
        <f t="shared" si="8"/>
        <v>7.200131459751966</v>
      </c>
      <c r="D43" s="10">
        <f t="shared" si="9"/>
        <v>-0.06674517437694397</v>
      </c>
      <c r="E43" s="10">
        <f t="shared" si="10"/>
        <v>-0.001094089726703149</v>
      </c>
      <c r="F43" s="10">
        <f t="shared" si="11"/>
        <v>-0.22906168398689752</v>
      </c>
      <c r="G43" s="10">
        <f t="shared" si="12"/>
        <v>0.03282554232512041</v>
      </c>
      <c r="H43" s="10">
        <f t="shared" si="13"/>
        <v>-0.08115825480497678</v>
      </c>
      <c r="I43" s="10">
        <f t="shared" si="14"/>
        <v>-0.11398379713009718</v>
      </c>
    </row>
    <row r="44" spans="2:9" ht="12.75">
      <c r="B44" s="9">
        <f t="shared" si="15"/>
        <v>75.09061924951432</v>
      </c>
      <c r="C44" s="10">
        <f t="shared" si="8"/>
        <v>7.389608603429648</v>
      </c>
      <c r="D44" s="10">
        <f t="shared" si="9"/>
        <v>-0.06504941778479746</v>
      </c>
      <c r="E44" s="10">
        <f t="shared" si="10"/>
        <v>-0.0010130412937951342</v>
      </c>
      <c r="F44" s="10">
        <f t="shared" si="11"/>
        <v>-0.2232952958951613</v>
      </c>
      <c r="G44" s="10">
        <f t="shared" si="12"/>
        <v>0.032018188245501164</v>
      </c>
      <c r="H44" s="10">
        <f t="shared" si="13"/>
        <v>-0.07912293905518192</v>
      </c>
      <c r="I44" s="10">
        <f t="shared" si="14"/>
        <v>-0.11114112730068308</v>
      </c>
    </row>
    <row r="45" spans="2:9" ht="12.75">
      <c r="B45" s="9">
        <f t="shared" si="15"/>
        <v>77.0160197430916</v>
      </c>
      <c r="C45" s="10">
        <f t="shared" si="8"/>
        <v>7.579085747107332</v>
      </c>
      <c r="D45" s="10">
        <f t="shared" si="9"/>
        <v>-0.06343733148481095</v>
      </c>
      <c r="E45" s="10">
        <f t="shared" si="10"/>
        <v>-0.0009397831359961178</v>
      </c>
      <c r="F45" s="10">
        <f t="shared" si="11"/>
        <v>-0.21780963577714688</v>
      </c>
      <c r="G45" s="10">
        <f t="shared" si="12"/>
        <v>0.03124877417440742</v>
      </c>
      <c r="H45" s="10">
        <f t="shared" si="13"/>
        <v>-0.07718615214616796</v>
      </c>
      <c r="I45" s="10">
        <f t="shared" si="14"/>
        <v>-0.10843492632057537</v>
      </c>
    </row>
    <row r="46" spans="2:9" ht="12.75">
      <c r="B46" s="9">
        <f t="shared" si="15"/>
        <v>78.94142023666889</v>
      </c>
      <c r="C46" s="10">
        <f t="shared" si="8"/>
        <v>7.768562890785014</v>
      </c>
      <c r="D46" s="10">
        <f t="shared" si="9"/>
        <v>-0.0619028968568354</v>
      </c>
      <c r="E46" s="10">
        <f t="shared" si="10"/>
        <v>-0.0008734036995696225</v>
      </c>
      <c r="F46" s="10">
        <f t="shared" si="11"/>
        <v>-0.21258486132400017</v>
      </c>
      <c r="G46" s="10">
        <f t="shared" si="12"/>
        <v>0.03051474657863289</v>
      </c>
      <c r="H46" s="10">
        <f t="shared" si="13"/>
        <v>-0.07534098223358239</v>
      </c>
      <c r="I46" s="10">
        <f t="shared" si="14"/>
        <v>-0.10585572881221528</v>
      </c>
    </row>
    <row r="47" spans="2:9" ht="12.75">
      <c r="B47" s="9">
        <f t="shared" si="15"/>
        <v>80.86682073024618</v>
      </c>
      <c r="C47" s="10">
        <f t="shared" si="8"/>
        <v>7.958040034462697</v>
      </c>
      <c r="D47" s="10">
        <f t="shared" si="9"/>
        <v>-0.060440656780410454</v>
      </c>
      <c r="E47" s="10">
        <f t="shared" si="10"/>
        <v>-0.0008131161740429014</v>
      </c>
      <c r="F47" s="10">
        <f t="shared" si="11"/>
        <v>-0.20760294168944138</v>
      </c>
      <c r="G47" s="10">
        <f t="shared" si="12"/>
        <v>0.029813770303183777</v>
      </c>
      <c r="H47" s="10">
        <f t="shared" si="13"/>
        <v>-0.07358114245451547</v>
      </c>
      <c r="I47" s="10">
        <f t="shared" si="14"/>
        <v>-0.10339491275769924</v>
      </c>
    </row>
    <row r="48" spans="2:9" ht="12.75">
      <c r="B48" s="9">
        <f t="shared" si="15"/>
        <v>82.79222122382346</v>
      </c>
      <c r="C48" s="10">
        <f t="shared" si="8"/>
        <v>8.14751717814038</v>
      </c>
      <c r="D48" s="10">
        <f t="shared" si="9"/>
        <v>-0.059045651891478146</v>
      </c>
      <c r="E48" s="10">
        <f t="shared" si="10"/>
        <v>-0.0007582390691507529</v>
      </c>
      <c r="F48" s="10">
        <f t="shared" si="11"/>
        <v>-0.20284745710836088</v>
      </c>
      <c r="G48" s="10">
        <f t="shared" si="12"/>
        <v>0.029143706411163695</v>
      </c>
      <c r="H48" s="10">
        <f t="shared" si="13"/>
        <v>-0.07190090260844137</v>
      </c>
      <c r="I48" s="10">
        <f t="shared" si="14"/>
        <v>-0.10104460901960506</v>
      </c>
    </row>
    <row r="49" spans="2:9" ht="12.75">
      <c r="B49" s="9">
        <f t="shared" si="15"/>
        <v>84.71762171740075</v>
      </c>
      <c r="C49" s="10">
        <f t="shared" si="8"/>
        <v>8.336994321818063</v>
      </c>
      <c r="D49" s="10">
        <f t="shared" si="9"/>
        <v>-0.05771336529837363</v>
      </c>
      <c r="E49" s="10">
        <f t="shared" si="10"/>
        <v>-0.0007081801647745499</v>
      </c>
      <c r="F49" s="10">
        <f t="shared" si="11"/>
        <v>-0.1983034243123759</v>
      </c>
      <c r="G49" s="10">
        <f t="shared" si="12"/>
        <v>0.028502592566799538</v>
      </c>
      <c r="H49" s="10">
        <f t="shared" si="13"/>
        <v>-0.07029502950700114</v>
      </c>
      <c r="I49" s="10">
        <f t="shared" si="14"/>
        <v>-0.09879762207380068</v>
      </c>
    </row>
    <row r="50" spans="2:9" ht="12.75">
      <c r="B50" s="9">
        <f t="shared" si="15"/>
        <v>86.64302221097803</v>
      </c>
      <c r="C50" s="10">
        <f t="shared" si="8"/>
        <v>8.526471465495746</v>
      </c>
      <c r="D50" s="10">
        <f t="shared" si="9"/>
        <v>-0.05643967448032529</v>
      </c>
      <c r="E50" s="10">
        <f t="shared" si="10"/>
        <v>-0.000662423190245823</v>
      </c>
      <c r="F50" s="10">
        <f t="shared" si="11"/>
        <v>-0.19395714398328862</v>
      </c>
      <c r="G50" s="10">
        <f t="shared" si="12"/>
        <v>0.027888625645039734</v>
      </c>
      <c r="H50" s="10">
        <f t="shared" si="13"/>
        <v>-0.06875873475148167</v>
      </c>
      <c r="I50" s="10">
        <f t="shared" si="14"/>
        <v>-0.0966473603965214</v>
      </c>
    </row>
    <row r="51" spans="2:9" ht="12.75">
      <c r="B51" s="9">
        <f t="shared" si="15"/>
        <v>88.56842270455532</v>
      </c>
      <c r="C51" s="10">
        <f t="shared" si="8"/>
        <v>8.715948609173429</v>
      </c>
      <c r="D51" s="10">
        <f t="shared" si="9"/>
        <v>-0.05522080930660047</v>
      </c>
      <c r="E51" s="10">
        <f t="shared" si="10"/>
        <v>-0.000620516723032866</v>
      </c>
      <c r="F51" s="10">
        <f t="shared" si="11"/>
        <v>-0.18979606709283364</v>
      </c>
      <c r="G51" s="10">
        <f t="shared" si="12"/>
        <v>0.027300146291783803</v>
      </c>
      <c r="H51" s="10">
        <f t="shared" si="13"/>
        <v>-0.06728762889311658</v>
      </c>
      <c r="I51" s="10">
        <f t="shared" si="14"/>
        <v>-0.09458777518490039</v>
      </c>
    </row>
    <row r="52" spans="2:9" ht="12.75">
      <c r="B52" s="9">
        <f t="shared" si="15"/>
        <v>90.4938231981326</v>
      </c>
      <c r="C52" s="10">
        <f t="shared" si="8"/>
        <v>8.90542575285111</v>
      </c>
      <c r="D52" s="10">
        <f t="shared" si="9"/>
        <v>-0.05405331528945556</v>
      </c>
      <c r="E52" s="10">
        <f t="shared" si="10"/>
        <v>-0.0005820649000301564</v>
      </c>
      <c r="F52" s="10">
        <f t="shared" si="11"/>
        <v>-0.18580867747739993</v>
      </c>
      <c r="G52" s="10">
        <f t="shared" si="12"/>
        <v>0.026735625194712703</v>
      </c>
      <c r="H52" s="10">
        <f t="shared" si="13"/>
        <v>-0.06587768109397218</v>
      </c>
      <c r="I52" s="10">
        <f t="shared" si="14"/>
        <v>-0.09261330628868489</v>
      </c>
    </row>
    <row r="53" spans="2:9" ht="12.75">
      <c r="B53" s="9">
        <f t="shared" si="15"/>
        <v>92.41922369170989</v>
      </c>
      <c r="C53" s="10">
        <f t="shared" si="8"/>
        <v>9.094902896528794</v>
      </c>
      <c r="D53" s="10">
        <f t="shared" si="9"/>
        <v>-0.05293402132751113</v>
      </c>
      <c r="E53" s="10">
        <f t="shared" si="10"/>
        <v>-0.0005467196159749569</v>
      </c>
      <c r="F53" s="10">
        <f t="shared" si="11"/>
        <v>-0.18198438840992298</v>
      </c>
      <c r="G53" s="10">
        <f t="shared" si="12"/>
        <v>0.026193650855768084</v>
      </c>
      <c r="H53" s="10">
        <f t="shared" si="13"/>
        <v>-0.06452518354120593</v>
      </c>
      <c r="I53" s="10">
        <f t="shared" si="14"/>
        <v>-0.09071883439697401</v>
      </c>
    </row>
    <row r="54" spans="2:9" ht="12.75">
      <c r="B54" s="9">
        <f t="shared" si="15"/>
        <v>94.34462418528717</v>
      </c>
      <c r="C54" s="10">
        <f t="shared" si="8"/>
        <v>9.284380040206477</v>
      </c>
      <c r="D54" s="10">
        <f t="shared" si="9"/>
        <v>-0.051860011314059776</v>
      </c>
      <c r="E54" s="10">
        <f t="shared" si="10"/>
        <v>-0.0005141739467743752</v>
      </c>
      <c r="F54" s="10">
        <f t="shared" si="11"/>
        <v>-0.17831345127412285</v>
      </c>
      <c r="G54" s="10">
        <f t="shared" si="12"/>
        <v>0.0256729186836427</v>
      </c>
      <c r="H54" s="10">
        <f t="shared" si="13"/>
        <v>-0.06322671998003154</v>
      </c>
      <c r="I54" s="10">
        <f t="shared" si="14"/>
        <v>-0.08889963866367423</v>
      </c>
    </row>
    <row r="55" spans="2:9" ht="12.75">
      <c r="B55" s="9">
        <f t="shared" si="15"/>
        <v>96.27002467886446</v>
      </c>
      <c r="C55" s="10">
        <f t="shared" si="8"/>
        <v>9.47385718388416</v>
      </c>
      <c r="D55" s="10">
        <f t="shared" si="9"/>
        <v>-0.05082859908213107</v>
      </c>
      <c r="E55" s="10">
        <f t="shared" si="10"/>
        <v>-0.00048415658599841566</v>
      </c>
      <c r="F55" s="10">
        <f t="shared" si="11"/>
        <v>-0.17478687473169444</v>
      </c>
      <c r="G55" s="10">
        <f t="shared" si="12"/>
        <v>0.025172221248066326</v>
      </c>
      <c r="H55" s="10">
        <f t="shared" si="13"/>
        <v>-0.061979137824781684</v>
      </c>
      <c r="I55" s="10">
        <f t="shared" si="14"/>
        <v>-0.08715135907284802</v>
      </c>
    </row>
  </sheetData>
  <mergeCells count="2">
    <mergeCell ref="B2:I2"/>
    <mergeCell ref="D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xueen</cp:lastModifiedBy>
  <cp:lastPrinted>2004-05-24T15:45:24Z</cp:lastPrinted>
  <dcterms:created xsi:type="dcterms:W3CDTF">2004-01-23T17:18:10Z</dcterms:created>
  <dcterms:modified xsi:type="dcterms:W3CDTF">2005-05-05T16:44:35Z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