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35" windowWidth="11850" windowHeight="7650" activeTab="0"/>
  </bookViews>
  <sheets>
    <sheet name="Hcontact.xls" sheetId="1" r:id="rId1"/>
  </sheets>
  <definedNames>
    <definedName name="a">'Hcontact.xls'!$B$27</definedName>
    <definedName name="A0age">'Hcontact.xls'!$E$12</definedName>
    <definedName name="A0alt">'Hcontact.xls'!$E$5</definedName>
    <definedName name="A1age">'Hcontact.xls'!$E$13</definedName>
    <definedName name="A1alt">'Hcontact.xls'!$E$6</definedName>
    <definedName name="A2age">'Hcontact.xls'!$E$14</definedName>
    <definedName name="A2alt">'Hcontact.xls'!$E$7</definedName>
    <definedName name="A3age">'Hcontact.xls'!$E$15</definedName>
    <definedName name="A3alt">'Hcontact.xls'!$E$8</definedName>
    <definedName name="A4age">'Hcontact.xls'!$E$16</definedName>
    <definedName name="A4alt">'Hcontact.xls'!$E$9</definedName>
    <definedName name="A5age">'Hcontact.xls'!$E$17</definedName>
    <definedName name="A5alt">'Hcontact.xls'!$E$10</definedName>
    <definedName name="alpha">'Hcontact.xls'!$D$19</definedName>
    <definedName name="B0age">'Hcontact.xls'!$G$12</definedName>
    <definedName name="B0alt">'Hcontact.xls'!$G$5</definedName>
    <definedName name="B1age">'Hcontact.xls'!$G$13</definedName>
    <definedName name="B1alt">'Hcontact.xls'!$G$6</definedName>
    <definedName name="B2age">'Hcontact.xls'!$G$14</definedName>
    <definedName name="B2alt">'Hcontact.xls'!$G$7</definedName>
    <definedName name="B3age">'Hcontact.xls'!$G$15</definedName>
    <definedName name="B3alt">'Hcontact.xls'!$G$8</definedName>
    <definedName name="B4age">'Hcontact.xls'!$G$16</definedName>
    <definedName name="B4alt">'Hcontact.xls'!$G$9</definedName>
    <definedName name="B5age">'Hcontact.xls'!$G$17</definedName>
    <definedName name="B5alt">'Hcontact.xls'!$G$10</definedName>
    <definedName name="beta">'Hcontact.xls'!$D$20</definedName>
    <definedName name="cc">'Hcontact.xls'!$B$19</definedName>
    <definedName name="costheta">'Hcontact.xls'!$D$17</definedName>
    <definedName name="dd">'Hcontact.xls'!$B$20</definedName>
    <definedName name="DmDm">'Hcontact.xls'!#REF!</definedName>
    <definedName name="Ebar">'Hcontact.xls'!$B$14</definedName>
    <definedName name="Ee">'Hcontact.xls'!$B$17</definedName>
    <definedName name="Eone">'Hcontact.xls'!$B$13</definedName>
    <definedName name="Eroller">'Hcontact.xls'!$B$13</definedName>
    <definedName name="Etwo">'Hcontact.xls'!$B$14</definedName>
    <definedName name="F">'Hcontact.xls'!$B$10</definedName>
    <definedName name="Fpercent">'Hcontact.xls'!#REF!</definedName>
    <definedName name="L0age">'Hcontact.xls'!$I$12</definedName>
    <definedName name="L0alt">'Hcontact.xls'!$I$5</definedName>
    <definedName name="L1age">'Hcontact.xls'!$I$13</definedName>
    <definedName name="L1alt">'Hcontact.xls'!$I$6</definedName>
    <definedName name="L2age">'Hcontact.xls'!$I$14</definedName>
    <definedName name="L2alt">'Hcontact.xls'!$I$7</definedName>
    <definedName name="L3age">'Hcontact.xls'!$I$15</definedName>
    <definedName name="L3alt">'Hcontact.xls'!$I$8</definedName>
    <definedName name="L4age">'Hcontact.xls'!$I$16</definedName>
    <definedName name="L4alt">'Hcontact.xls'!$I$9</definedName>
    <definedName name="L5age">'Hcontact.xls'!$I$17</definedName>
    <definedName name="L5alt">'Hcontact.xls'!$I$10</definedName>
    <definedName name="lambda">'Hcontact.xls'!$D$21</definedName>
    <definedName name="mu">'Hcontact.xls'!#REF!</definedName>
    <definedName name="phi">'Hcontact.xls'!$B$12</definedName>
    <definedName name="Phi__degrees">'Hcontact.xls'!$B$12</definedName>
    <definedName name="Pmax">'Hcontact.xls'!$B$6</definedName>
    <definedName name="_xlnm.Print_Area" localSheetId="0">'Hcontact.xls'!$A$5:$D$31</definedName>
    <definedName name="q">'Hcontact.xls'!$B$21</definedName>
    <definedName name="re">'Hcontact.xls'!$B$18</definedName>
    <definedName name="Ronemaj">'Hcontact.xls'!$B$6</definedName>
    <definedName name="Ronemin">'Hcontact.xls'!$B$7</definedName>
    <definedName name="Rtwomaj">'Hcontact.xls'!$B$8</definedName>
    <definedName name="Rtwomin">'Hcontact.xls'!$B$9</definedName>
    <definedName name="sigult">'Hcontact.xls'!$B$11</definedName>
    <definedName name="theta_1">'Hcontact.xls'!$D$18</definedName>
    <definedName name="tm">'Hcontact.xls'!#REF!</definedName>
    <definedName name="vbar">'Hcontact.xls'!$B$16</definedName>
    <definedName name="vone">'Hcontact.xls'!$B$15</definedName>
    <definedName name="vroller">'Hcontact.xls'!$B$15</definedName>
    <definedName name="vtwo">'Hcontact.xls'!$B$16</definedName>
    <definedName name="Xpercent">'Hcontact.xls'!#REF!</definedName>
    <definedName name="zinc">'Hcontact.xls'!$B$38</definedName>
  </definedNames>
  <calcPr fullCalcOnLoad="1"/>
</workbook>
</file>

<file path=xl/sharedStrings.xml><?xml version="1.0" encoding="utf-8"?>
<sst xmlns="http://schemas.openxmlformats.org/spreadsheetml/2006/main" count="40" uniqueCount="40">
  <si>
    <t>Phi (degrees)</t>
  </si>
  <si>
    <t>Elastic modulus Eone</t>
  </si>
  <si>
    <t>Elastic modulus Etwo</t>
  </si>
  <si>
    <t>Poisson's ratio vone</t>
  </si>
  <si>
    <t>Poisson's ratio vtwo</t>
  </si>
  <si>
    <t>Equivelent modulus Ee</t>
  </si>
  <si>
    <t>Equivelent radius Re</t>
  </si>
  <si>
    <t>costheta</t>
  </si>
  <si>
    <t>theta</t>
  </si>
  <si>
    <t>alpha</t>
  </si>
  <si>
    <t>beta</t>
  </si>
  <si>
    <t>lambda</t>
  </si>
  <si>
    <t>Stress ratio (must be less than 1)</t>
  </si>
  <si>
    <t>Deflection at the one contact interface</t>
  </si>
  <si>
    <t xml:space="preserve">    Deflection (µunits)</t>
  </si>
  <si>
    <t>Stiffness (load/µunits)</t>
  </si>
  <si>
    <t>zinc</t>
  </si>
  <si>
    <t>depth</t>
  </si>
  <si>
    <t>Contact pressure, q</t>
  </si>
  <si>
    <t>for circular contact a = c, a</t>
  </si>
  <si>
    <t>z/a</t>
  </si>
  <si>
    <t>Depth at maximum shear stress/a</t>
  </si>
  <si>
    <t>Max shear stress/ultimate tensile</t>
  </si>
  <si>
    <t>To determine Hertz contact stress between bodies</t>
  </si>
  <si>
    <t>By Alex Slocum, Last modified 1/17/2004 by Alex Slocum</t>
  </si>
  <si>
    <t>Be consistent with units!</t>
  </si>
  <si>
    <t>Hertz_Point_Contact.xls</t>
  </si>
  <si>
    <t>Ronemaj (mm)</t>
  </si>
  <si>
    <t>Ronemin (mm)</t>
  </si>
  <si>
    <t>Rtwomaj (mm)</t>
  </si>
  <si>
    <t>Rtwomin (mm)</t>
  </si>
  <si>
    <t>Applied load F (N)</t>
  </si>
  <si>
    <t>Ultimate tensile stress (N/mm^2)</t>
  </si>
  <si>
    <t>ellipse c (mm)</t>
  </si>
  <si>
    <t>ellipse d (mm)</t>
  </si>
  <si>
    <r>
      <t xml:space="preserve">Enters numbers in </t>
    </r>
    <r>
      <rPr>
        <b/>
        <sz val="8"/>
        <rFont val="Times New Roman"/>
        <family val="1"/>
      </rPr>
      <t>BOLD,</t>
    </r>
    <r>
      <rPr>
        <sz val="8"/>
        <rFont val="Times New Roman"/>
        <family val="1"/>
      </rPr>
      <t xml:space="preserve"> Results in </t>
    </r>
    <r>
      <rPr>
        <b/>
        <sz val="8"/>
        <color indexed="10"/>
        <rFont val="Times New Roman"/>
        <family val="1"/>
      </rPr>
      <t>RED</t>
    </r>
  </si>
  <si>
    <t>sz/sultimate</t>
  </si>
  <si>
    <t>sq/sultimate</t>
  </si>
  <si>
    <t>t/sultimate</t>
  </si>
  <si>
    <t>Maximum shear stress/(ultimate tensile/2)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</si>
</sst>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0.0"/>
    <numFmt numFmtId="167" formatCode="0.0000"/>
    <numFmt numFmtId="168" formatCode="0.00000"/>
    <numFmt numFmtId="169" formatCode="#,##0.0"/>
    <numFmt numFmtId="170" formatCode="#,##0.000"/>
    <numFmt numFmtId="171" formatCode="0.0000000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8.2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11" fontId="7" fillId="0" borderId="1" xfId="0" applyNumberFormat="1" applyFont="1" applyFill="1" applyBorder="1" applyAlignment="1">
      <alignment/>
    </xf>
    <xf numFmtId="11" fontId="9" fillId="0" borderId="1" xfId="0" applyNumberFormat="1" applyFont="1" applyFill="1" applyBorder="1" applyAlignment="1">
      <alignment/>
    </xf>
    <xf numFmtId="167" fontId="9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left" indent="1"/>
    </xf>
    <xf numFmtId="2" fontId="9" fillId="0" borderId="1" xfId="0" applyNumberFormat="1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11" fontId="9" fillId="0" borderId="1" xfId="0" applyNumberFormat="1" applyFont="1" applyBorder="1" applyAlignment="1">
      <alignment/>
    </xf>
    <xf numFmtId="165" fontId="9" fillId="0" borderId="1" xfId="0" applyNumberFormat="1" applyFont="1" applyBorder="1" applyAlignment="1">
      <alignment/>
    </xf>
    <xf numFmtId="168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166" fontId="8" fillId="0" borderId="0" xfId="0" applyNumberFormat="1" applyFont="1" applyAlignment="1">
      <alignment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165" fontId="7" fillId="0" borderId="2" xfId="0" applyNumberFormat="1" applyFont="1" applyFill="1" applyBorder="1" applyAlignment="1">
      <alignment/>
    </xf>
    <xf numFmtId="165" fontId="7" fillId="0" borderId="1" xfId="0" applyNumberFormat="1" applyFont="1" applyFill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State of Stress below circular Hertz contact</a:t>
            </a:r>
          </a:p>
        </c:rich>
      </c:tx>
      <c:layout>
        <c:manualLayout>
          <c:xMode val="factor"/>
          <c:yMode val="factor"/>
          <c:x val="0.010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3825"/>
          <c:w val="0.9445"/>
          <c:h val="0.76125"/>
        </c:manualLayout>
      </c:layout>
      <c:scatterChart>
        <c:scatterStyle val="smooth"/>
        <c:varyColors val="0"/>
        <c:ser>
          <c:idx val="0"/>
          <c:order val="0"/>
          <c:tx>
            <c:strRef>
              <c:f>'Hcontact.xls'!$C$39</c:f>
              <c:strCache>
                <c:ptCount val="1"/>
                <c:pt idx="0">
                  <c:v>sz/sultimate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'Hcontact.xls'!$B$40:$B$90</c:f>
              <c:numCache/>
            </c:numRef>
          </c:xVal>
          <c:yVal>
            <c:numRef>
              <c:f>'Hcontact.xls'!$C$40:$C$90</c:f>
              <c:numCache/>
            </c:numRef>
          </c:yVal>
          <c:smooth val="1"/>
        </c:ser>
        <c:ser>
          <c:idx val="1"/>
          <c:order val="1"/>
          <c:tx>
            <c:strRef>
              <c:f>'Hcontact.xls'!$D$39</c:f>
              <c:strCache>
                <c:ptCount val="1"/>
                <c:pt idx="0">
                  <c:v>sq/sultimate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'Hcontact.xls'!$B$40:$B$90</c:f>
              <c:numCache/>
            </c:numRef>
          </c:xVal>
          <c:yVal>
            <c:numRef>
              <c:f>'Hcontact.xls'!$D$40:$D$90</c:f>
              <c:numCache/>
            </c:numRef>
          </c:yVal>
          <c:smooth val="1"/>
        </c:ser>
        <c:ser>
          <c:idx val="2"/>
          <c:order val="2"/>
          <c:tx>
            <c:strRef>
              <c:f>'Hcontact.xls'!$E$39</c:f>
              <c:strCache>
                <c:ptCount val="1"/>
                <c:pt idx="0">
                  <c:v>t/sultimate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'Hcontact.xls'!$B$40:$B$90</c:f>
              <c:numCache/>
            </c:numRef>
          </c:xVal>
          <c:yVal>
            <c:numRef>
              <c:f>'Hcontact.xls'!$E$40:$E$90</c:f>
              <c:numCache/>
            </c:numRef>
          </c:yVal>
          <c:smooth val="1"/>
        </c:ser>
        <c:axId val="101555"/>
        <c:axId val="913996"/>
      </c:scatterChart>
      <c:valAx>
        <c:axId val="101555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Distance below surface/circular contact radius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3996"/>
        <c:crosses val="autoZero"/>
        <c:crossBetween val="midCat"/>
        <c:dispUnits/>
      </c:valAx>
      <c:valAx>
        <c:axId val="913996"/>
        <c:scaling>
          <c:orientation val="minMax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Stress/ultimate tensile stress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5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47625</xdr:rowOff>
    </xdr:from>
    <xdr:to>
      <xdr:col>10</xdr:col>
      <xdr:colOff>838200</xdr:colOff>
      <xdr:row>21</xdr:row>
      <xdr:rowOff>114300</xdr:rowOff>
    </xdr:to>
    <xdr:graphicFrame>
      <xdr:nvGraphicFramePr>
        <xdr:cNvPr id="1" name="Chart 3"/>
        <xdr:cNvGraphicFramePr/>
      </xdr:nvGraphicFramePr>
      <xdr:xfrm>
        <a:off x="4038600" y="47625"/>
        <a:ext cx="84486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419100</xdr:colOff>
      <xdr:row>25</xdr:row>
      <xdr:rowOff>142875</xdr:rowOff>
    </xdr:from>
    <xdr:to>
      <xdr:col>10</xdr:col>
      <xdr:colOff>419100</xdr:colOff>
      <xdr:row>28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3724275"/>
          <a:ext cx="6238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="125" zoomScaleNormal="125" workbookViewId="0" topLeftCell="A2">
      <selection activeCell="B6" sqref="B6"/>
    </sheetView>
  </sheetViews>
  <sheetFormatPr defaultColWidth="9.00390625" defaultRowHeight="12.75"/>
  <cols>
    <col min="1" max="1" width="37.125" style="16" customWidth="1"/>
    <col min="2" max="2" width="13.00390625" style="1" customWidth="1"/>
    <col min="3" max="3" width="20.875" style="1" customWidth="1"/>
    <col min="4" max="4" width="11.75390625" style="1" customWidth="1"/>
    <col min="5" max="5" width="12.25390625" style="1" customWidth="1"/>
    <col min="6" max="6" width="12.375" style="1" customWidth="1"/>
    <col min="7" max="12" width="11.375" style="1" customWidth="1"/>
    <col min="13" max="13" width="10.75390625" style="1" customWidth="1"/>
    <col min="14" max="14" width="12.125" style="1" customWidth="1"/>
    <col min="15" max="18" width="10.75390625" style="1" customWidth="1"/>
    <col min="19" max="16384" width="11.375" style="1" customWidth="1"/>
  </cols>
  <sheetData>
    <row r="1" spans="1:2" ht="11.25">
      <c r="A1" s="23" t="s">
        <v>26</v>
      </c>
      <c r="B1" s="23"/>
    </row>
    <row r="2" spans="1:2" ht="11.25">
      <c r="A2" s="24" t="s">
        <v>23</v>
      </c>
      <c r="B2" s="24"/>
    </row>
    <row r="3" spans="1:2" ht="11.25">
      <c r="A3" s="22" t="s">
        <v>24</v>
      </c>
      <c r="B3" s="22"/>
    </row>
    <row r="4" spans="1:2" ht="11.25">
      <c r="A4" s="22" t="s">
        <v>35</v>
      </c>
      <c r="B4" s="22"/>
    </row>
    <row r="5" spans="1:2" ht="12" thickBot="1">
      <c r="A5" s="20" t="s">
        <v>25</v>
      </c>
      <c r="B5" s="21"/>
    </row>
    <row r="6" spans="1:2" ht="11.25">
      <c r="A6" s="3" t="s">
        <v>27</v>
      </c>
      <c r="B6" s="25">
        <v>0.125</v>
      </c>
    </row>
    <row r="7" spans="1:2" ht="11.25">
      <c r="A7" s="4" t="s">
        <v>28</v>
      </c>
      <c r="B7" s="26">
        <v>0.125</v>
      </c>
    </row>
    <row r="8" spans="1:2" ht="11.25">
      <c r="A8" s="4" t="s">
        <v>29</v>
      </c>
      <c r="B8" s="26">
        <v>1000000</v>
      </c>
    </row>
    <row r="9" spans="1:2" ht="11.25">
      <c r="A9" s="4" t="s">
        <v>30</v>
      </c>
      <c r="B9" s="26">
        <v>1000000</v>
      </c>
    </row>
    <row r="10" spans="1:2" ht="11.25">
      <c r="A10" s="4" t="s">
        <v>31</v>
      </c>
      <c r="B10" s="26">
        <v>5</v>
      </c>
    </row>
    <row r="11" spans="1:2" ht="11.25">
      <c r="A11" s="4" t="s">
        <v>32</v>
      </c>
      <c r="B11" s="5">
        <v>6000</v>
      </c>
    </row>
    <row r="12" spans="1:2" ht="11.25">
      <c r="A12" s="4" t="s">
        <v>0</v>
      </c>
      <c r="B12" s="6">
        <v>90</v>
      </c>
    </row>
    <row r="13" spans="1:2" ht="11.25">
      <c r="A13" s="4" t="s">
        <v>1</v>
      </c>
      <c r="B13" s="7">
        <v>300000</v>
      </c>
    </row>
    <row r="14" spans="1:2" ht="11.25">
      <c r="A14" s="4" t="s">
        <v>2</v>
      </c>
      <c r="B14" s="7">
        <v>300000</v>
      </c>
    </row>
    <row r="15" spans="1:2" ht="11.25">
      <c r="A15" s="4" t="s">
        <v>3</v>
      </c>
      <c r="B15" s="6">
        <v>0.29</v>
      </c>
    </row>
    <row r="16" spans="1:2" ht="11.25">
      <c r="A16" s="4" t="s">
        <v>4</v>
      </c>
      <c r="B16" s="6">
        <v>0.29</v>
      </c>
    </row>
    <row r="17" spans="1:4" ht="11.25">
      <c r="A17" s="4" t="s">
        <v>5</v>
      </c>
      <c r="B17" s="8">
        <f>1/((1-vone^2)/Eone+(1-vtwo^2)/Etwo)</f>
        <v>163773.33770062233</v>
      </c>
      <c r="C17" s="4" t="s">
        <v>7</v>
      </c>
      <c r="D17" s="9">
        <f>re*SQRT((1/Ronemaj-1/Ronemin)^2+(1/Rtwomaj-1/Rtwomin)^2+2*(1/Ronemaj-1/Ronemin)*(1/Rtwomaj-1/Rtwomin)*COS(2*phi*PI()/180))</f>
        <v>0</v>
      </c>
    </row>
    <row r="18" spans="1:4" ht="11.25">
      <c r="A18" s="4" t="s">
        <v>6</v>
      </c>
      <c r="B18" s="9">
        <f>1/(1/Ronemaj+1/Ronemin+1/Rtwomaj+1/Rtwomin)</f>
        <v>0.06249999218750097</v>
      </c>
      <c r="C18" s="4" t="s">
        <v>8</v>
      </c>
      <c r="D18" s="9">
        <f>ACOS(D17)</f>
        <v>1.5707963267948966</v>
      </c>
    </row>
    <row r="19" spans="1:4" ht="11.25">
      <c r="A19" s="4" t="s">
        <v>33</v>
      </c>
      <c r="B19" s="8">
        <f>alpha*(1.5*F*re/Ee)^0.333333</f>
        <v>0.014241042284191012</v>
      </c>
      <c r="C19" s="4" t="s">
        <v>9</v>
      </c>
      <c r="D19" s="9">
        <f>1.939*2.71831^(-5.26*theta_1)+1.78*2.71831^(-1.09*theta_1)+0.723/theta_1+0.221</f>
        <v>1.0030145953604</v>
      </c>
    </row>
    <row r="20" spans="1:4" ht="11.25">
      <c r="A20" s="4" t="s">
        <v>34</v>
      </c>
      <c r="B20" s="8">
        <f>beta*(1.5*F*re/Ee)^0.333333</f>
        <v>0.014218237319215359</v>
      </c>
      <c r="C20" s="4" t="s">
        <v>10</v>
      </c>
      <c r="D20" s="9">
        <f>35.228*2.71831^(-0.98*theta_1)-32.424*2.71831^(-1.0475*theta_1)+1.486*theta_1-2.634</f>
        <v>1.0014084128731353</v>
      </c>
    </row>
    <row r="21" spans="1:4" ht="11.25">
      <c r="A21" s="4" t="s">
        <v>18</v>
      </c>
      <c r="B21" s="8">
        <f>3*F/(2*PI()*cc*dd)</f>
        <v>11790.272857657312</v>
      </c>
      <c r="C21" s="4" t="s">
        <v>11</v>
      </c>
      <c r="D21" s="9">
        <f>-0.214*2.71831^(-4.95*theta_1)-0.179*theta_1^2+0.555*theta_1+0.319</f>
        <v>0.7490373083770202</v>
      </c>
    </row>
    <row r="22" ht="11.25">
      <c r="A22" s="4" t="s">
        <v>12</v>
      </c>
    </row>
    <row r="23" spans="1:2" ht="11.25">
      <c r="A23" s="10" t="s">
        <v>39</v>
      </c>
      <c r="B23" s="11">
        <f>0.3*q/(sigult/2)</f>
        <v>1.1790272857657311</v>
      </c>
    </row>
    <row r="24" spans="1:2" ht="11.25">
      <c r="A24" s="4" t="s">
        <v>13</v>
      </c>
      <c r="B24" s="8"/>
    </row>
    <row r="25" spans="1:2" ht="11.25">
      <c r="A25" s="4" t="s">
        <v>14</v>
      </c>
      <c r="B25" s="12">
        <f>1000000*lambda*(2*F^2/(3*re*Ee^2))^0.33333</f>
        <v>1610.7355859708068</v>
      </c>
    </row>
    <row r="26" spans="1:2" ht="11.25">
      <c r="A26" s="4" t="s">
        <v>15</v>
      </c>
      <c r="B26" s="12">
        <f>B10/B25</f>
        <v>0.003104171810413221</v>
      </c>
    </row>
    <row r="27" spans="1:2" ht="11.25">
      <c r="A27" s="2" t="s">
        <v>19</v>
      </c>
      <c r="B27" s="13">
        <f>cc</f>
        <v>0.014241042284191012</v>
      </c>
    </row>
    <row r="28" spans="1:2" ht="11.25">
      <c r="A28" s="2" t="s">
        <v>21</v>
      </c>
      <c r="B28" s="14">
        <f>SQRT(2*(1+vone)/(7-2*vone))</f>
        <v>0.6339315096116493</v>
      </c>
    </row>
    <row r="29" spans="1:2" ht="11.25">
      <c r="A29" s="2" t="s">
        <v>22</v>
      </c>
      <c r="B29" s="14">
        <f>(q/2)*((1-2*vone)/2+2*(1+vone)*SQRT(2*(1+vone))/9)/sigult</f>
        <v>0.6587371326494672</v>
      </c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spans="1:3" ht="11.25">
      <c r="A35" s="1"/>
      <c r="C35" s="15"/>
    </row>
    <row r="38" spans="1:2" ht="11.25">
      <c r="A38" s="16" t="s">
        <v>16</v>
      </c>
      <c r="B38" s="1">
        <f>0.1*cc</f>
        <v>0.0014241042284191012</v>
      </c>
    </row>
    <row r="39" spans="1:5" ht="11.25">
      <c r="A39" s="17" t="s">
        <v>17</v>
      </c>
      <c r="B39" s="18" t="s">
        <v>20</v>
      </c>
      <c r="C39" s="18" t="s">
        <v>36</v>
      </c>
      <c r="D39" s="18" t="s">
        <v>37</v>
      </c>
      <c r="E39" s="18" t="s">
        <v>38</v>
      </c>
    </row>
    <row r="40" spans="1:5" ht="11.25">
      <c r="A40" s="1">
        <v>0</v>
      </c>
      <c r="B40" s="19">
        <f aca="true" t="shared" si="0" ref="B40:B71">A40/a</f>
        <v>0</v>
      </c>
      <c r="C40" s="19">
        <f aca="true" t="shared" si="1" ref="C40:C71">q*(-1+(A40^3)/(a^2+A40^2)^1.5)/sigult</f>
        <v>-1.9650454762762186</v>
      </c>
      <c r="D40" s="19">
        <f aca="true" t="shared" si="2" ref="D40:D71">(q/2)*(-(1+2*vone)+2*(1+vone)*A40/SQRT(a^2+A40^2)-(A40^3)/(a^2+A40^2)^1.5)/sigult</f>
        <v>-1.5523859262582127</v>
      </c>
      <c r="E40" s="19">
        <f>(D40-C40)/2</f>
        <v>0.20632977500900296</v>
      </c>
    </row>
    <row r="41" spans="1:5" ht="11.25">
      <c r="A41" s="1">
        <f aca="true" t="shared" si="3" ref="A41:A72">A40+zinc</f>
        <v>0.0014241042284191012</v>
      </c>
      <c r="B41" s="19">
        <f t="shared" si="0"/>
        <v>0.1</v>
      </c>
      <c r="C41" s="19">
        <f t="shared" si="1"/>
        <v>-1.9631095422867644</v>
      </c>
      <c r="D41" s="19">
        <f t="shared" si="2"/>
        <v>-1.3011210537669529</v>
      </c>
      <c r="E41" s="19">
        <f aca="true" t="shared" si="4" ref="E41:E84">(D41-C41)/2</f>
        <v>0.33099424425990576</v>
      </c>
    </row>
    <row r="42" spans="1:5" ht="11.25">
      <c r="A42" s="1">
        <f t="shared" si="3"/>
        <v>0.0028482084568382023</v>
      </c>
      <c r="B42" s="19">
        <f t="shared" si="0"/>
        <v>0.2</v>
      </c>
      <c r="C42" s="19">
        <f t="shared" si="1"/>
        <v>-1.950223279192447</v>
      </c>
      <c r="D42" s="19">
        <f t="shared" si="2"/>
        <v>-1.062660534610396</v>
      </c>
      <c r="E42" s="19">
        <f t="shared" si="4"/>
        <v>0.44378137229102554</v>
      </c>
    </row>
    <row r="43" spans="1:5" ht="11.25">
      <c r="A43" s="1">
        <f t="shared" si="3"/>
        <v>0.0042723126852573035</v>
      </c>
      <c r="B43" s="19">
        <f t="shared" si="0"/>
        <v>0.3</v>
      </c>
      <c r="C43" s="19">
        <f t="shared" si="1"/>
        <v>-1.918422861928997</v>
      </c>
      <c r="D43" s="19">
        <f t="shared" si="2"/>
        <v>-0.8472965886137317</v>
      </c>
      <c r="E43" s="19">
        <f t="shared" si="4"/>
        <v>0.5355631366576326</v>
      </c>
    </row>
    <row r="44" spans="1:5" ht="11.25">
      <c r="A44" s="1">
        <f t="shared" si="3"/>
        <v>0.005696416913676405</v>
      </c>
      <c r="B44" s="19">
        <f t="shared" si="0"/>
        <v>0.4</v>
      </c>
      <c r="C44" s="19">
        <f t="shared" si="1"/>
        <v>-1.864383466827833</v>
      </c>
      <c r="D44" s="19">
        <f t="shared" si="2"/>
        <v>-0.6612754876163777</v>
      </c>
      <c r="E44" s="19">
        <f t="shared" si="4"/>
        <v>0.6015539896057276</v>
      </c>
    </row>
    <row r="45" spans="1:5" ht="11.25">
      <c r="A45" s="1">
        <f t="shared" si="3"/>
        <v>0.007120521142095506</v>
      </c>
      <c r="B45" s="19">
        <f t="shared" si="0"/>
        <v>0.5</v>
      </c>
      <c r="C45" s="19">
        <f t="shared" si="1"/>
        <v>-1.7892864657229357</v>
      </c>
      <c r="D45" s="19">
        <f t="shared" si="2"/>
        <v>-0.5066198134661787</v>
      </c>
      <c r="E45" s="19">
        <f t="shared" si="4"/>
        <v>0.6413333261283785</v>
      </c>
    </row>
    <row r="46" spans="1:5" ht="11.25">
      <c r="A46" s="1">
        <f t="shared" si="3"/>
        <v>0.008544625370514607</v>
      </c>
      <c r="B46" s="19">
        <f t="shared" si="0"/>
        <v>0.6</v>
      </c>
      <c r="C46" s="19">
        <f t="shared" si="1"/>
        <v>-1.6974258288969364</v>
      </c>
      <c r="D46" s="19">
        <f t="shared" si="2"/>
        <v>-0.3819960017194858</v>
      </c>
      <c r="E46" s="19">
        <f t="shared" si="4"/>
        <v>0.6577149135887252</v>
      </c>
    </row>
    <row r="47" spans="1:5" ht="11.25">
      <c r="A47" s="1">
        <f t="shared" si="3"/>
        <v>0.009968729598933707</v>
      </c>
      <c r="B47" s="19">
        <f t="shared" si="0"/>
        <v>0.7</v>
      </c>
      <c r="C47" s="19">
        <f t="shared" si="1"/>
        <v>-1.5944609145668913</v>
      </c>
      <c r="D47" s="19">
        <f t="shared" si="2"/>
        <v>-0.2840035416812481</v>
      </c>
      <c r="E47" s="19">
        <f t="shared" si="4"/>
        <v>0.6552286864428216</v>
      </c>
    </row>
    <row r="48" spans="1:5" ht="11.25">
      <c r="A48" s="1">
        <f t="shared" si="3"/>
        <v>0.01139283382735281</v>
      </c>
      <c r="B48" s="19">
        <f t="shared" si="0"/>
        <v>0.8</v>
      </c>
      <c r="C48" s="19">
        <f t="shared" si="1"/>
        <v>-1.4859999436912519</v>
      </c>
      <c r="D48" s="19">
        <f t="shared" si="2"/>
        <v>-0.20836380389951376</v>
      </c>
      <c r="E48" s="19">
        <f t="shared" si="4"/>
        <v>0.6388180698958691</v>
      </c>
    </row>
    <row r="49" spans="1:5" ht="11.25">
      <c r="A49" s="1">
        <f t="shared" si="3"/>
        <v>0.012816938055771911</v>
      </c>
      <c r="B49" s="19">
        <f t="shared" si="0"/>
        <v>0.9</v>
      </c>
      <c r="C49" s="19">
        <f t="shared" si="1"/>
        <v>-1.3767679310126537</v>
      </c>
      <c r="D49" s="19">
        <f t="shared" si="2"/>
        <v>-0.1507602045246872</v>
      </c>
      <c r="E49" s="19">
        <f t="shared" si="4"/>
        <v>0.6130038632439833</v>
      </c>
    </row>
    <row r="50" spans="1:5" ht="11.25">
      <c r="A50" s="1">
        <f t="shared" si="3"/>
        <v>0.014241042284191013</v>
      </c>
      <c r="B50" s="19">
        <f t="shared" si="0"/>
        <v>1.0000000000000002</v>
      </c>
      <c r="C50" s="19">
        <f t="shared" si="1"/>
        <v>-1.2702969854687869</v>
      </c>
      <c r="D50" s="19">
        <f t="shared" si="2"/>
        <v>-0.10730906537875506</v>
      </c>
      <c r="E50" s="19">
        <f t="shared" si="4"/>
        <v>0.581493960045016</v>
      </c>
    </row>
    <row r="51" spans="1:5" ht="11.25">
      <c r="A51" s="1">
        <f t="shared" si="3"/>
        <v>0.015665146512610115</v>
      </c>
      <c r="B51" s="19">
        <f t="shared" si="0"/>
        <v>1.1</v>
      </c>
      <c r="C51" s="19">
        <f t="shared" si="1"/>
        <v>-1.1689553261992722</v>
      </c>
      <c r="D51" s="19">
        <f t="shared" si="2"/>
        <v>-0.07475049811125772</v>
      </c>
      <c r="E51" s="19">
        <f t="shared" si="4"/>
        <v>0.5471024140440073</v>
      </c>
    </row>
    <row r="52" spans="1:5" ht="11.25">
      <c r="A52" s="1">
        <f t="shared" si="3"/>
        <v>0.017089250741029217</v>
      </c>
      <c r="B52" s="19">
        <f t="shared" si="0"/>
        <v>1.2000000000000002</v>
      </c>
      <c r="C52" s="19">
        <f t="shared" si="1"/>
        <v>-1.0741400498980174</v>
      </c>
      <c r="D52" s="19">
        <f t="shared" si="2"/>
        <v>-0.05046786162229583</v>
      </c>
      <c r="E52" s="19">
        <f t="shared" si="4"/>
        <v>0.5118360941378608</v>
      </c>
    </row>
    <row r="53" spans="1:5" ht="11.25">
      <c r="A53" s="1">
        <f t="shared" si="3"/>
        <v>0.01851335496944832</v>
      </c>
      <c r="B53" s="19">
        <f t="shared" si="0"/>
        <v>1.3000000000000003</v>
      </c>
      <c r="C53" s="19">
        <f t="shared" si="1"/>
        <v>-0.9865152564766541</v>
      </c>
      <c r="D53" s="19">
        <f t="shared" si="2"/>
        <v>-0.03242161856836795</v>
      </c>
      <c r="E53" s="19">
        <f t="shared" si="4"/>
        <v>0.477046818954143</v>
      </c>
    </row>
    <row r="54" spans="1:5" ht="11.25">
      <c r="A54" s="1">
        <f t="shared" si="3"/>
        <v>0.01993745919786742</v>
      </c>
      <c r="B54" s="19">
        <f t="shared" si="0"/>
        <v>1.4000000000000004</v>
      </c>
      <c r="C54" s="19">
        <f t="shared" si="1"/>
        <v>-0.9062327661684129</v>
      </c>
      <c r="D54" s="19">
        <f t="shared" si="2"/>
        <v>-0.019052254640868082</v>
      </c>
      <c r="E54" s="19">
        <f t="shared" si="4"/>
        <v>0.44359025576377237</v>
      </c>
    </row>
    <row r="55" spans="1:5" ht="11.25">
      <c r="A55" s="1">
        <f t="shared" si="3"/>
        <v>0.021361563426286524</v>
      </c>
      <c r="B55" s="19">
        <f t="shared" si="0"/>
        <v>1.5000000000000004</v>
      </c>
      <c r="C55" s="19">
        <f t="shared" si="1"/>
        <v>-0.8331108607142284</v>
      </c>
      <c r="D55" s="19">
        <f t="shared" si="2"/>
        <v>-0.009181733708697683</v>
      </c>
      <c r="E55" s="19">
        <f t="shared" si="4"/>
        <v>0.41196456350276534</v>
      </c>
    </row>
    <row r="56" spans="1:5" ht="11.25">
      <c r="A56" s="1">
        <f t="shared" si="3"/>
        <v>0.022785667654705626</v>
      </c>
      <c r="B56" s="19">
        <f t="shared" si="0"/>
        <v>1.6000000000000005</v>
      </c>
      <c r="C56" s="19">
        <f t="shared" si="1"/>
        <v>-0.7667675572289544</v>
      </c>
      <c r="D56" s="19">
        <f t="shared" si="2"/>
        <v>-0.0019266375659609005</v>
      </c>
      <c r="E56" s="19">
        <f t="shared" si="4"/>
        <v>0.38242045983149675</v>
      </c>
    </row>
    <row r="57" spans="1:5" ht="11.25">
      <c r="A57" s="1">
        <f t="shared" si="3"/>
        <v>0.024209771883124728</v>
      </c>
      <c r="B57" s="19">
        <f t="shared" si="0"/>
        <v>1.7000000000000006</v>
      </c>
      <c r="C57" s="19">
        <f t="shared" si="1"/>
        <v>-0.7067142683860844</v>
      </c>
      <c r="D57" s="19">
        <f t="shared" si="2"/>
        <v>0.003372979939794074</v>
      </c>
      <c r="E57" s="19">
        <f t="shared" si="4"/>
        <v>0.3550436241629392</v>
      </c>
    </row>
    <row r="58" spans="1:5" ht="11.25">
      <c r="A58" s="1">
        <f t="shared" si="3"/>
        <v>0.02563387611154383</v>
      </c>
      <c r="B58" s="19">
        <f t="shared" si="0"/>
        <v>1.8000000000000007</v>
      </c>
      <c r="C58" s="19">
        <f t="shared" si="1"/>
        <v>-0.652418467967519</v>
      </c>
      <c r="D58" s="19">
        <f t="shared" si="2"/>
        <v>0.007209422873011954</v>
      </c>
      <c r="E58" s="19">
        <f t="shared" si="4"/>
        <v>0.3298139454202655</v>
      </c>
    </row>
    <row r="59" spans="1:5" ht="11.25">
      <c r="A59" s="1">
        <f t="shared" si="3"/>
        <v>0.02705798033996293</v>
      </c>
      <c r="B59" s="19">
        <f t="shared" si="0"/>
        <v>1.9000000000000006</v>
      </c>
      <c r="C59" s="19">
        <f t="shared" si="1"/>
        <v>-0.6033436488021082</v>
      </c>
      <c r="D59" s="19">
        <f t="shared" si="2"/>
        <v>0.009950029203010797</v>
      </c>
      <c r="E59" s="19">
        <f t="shared" si="4"/>
        <v>0.3066468390025595</v>
      </c>
    </row>
    <row r="60" spans="1:5" ht="11.25">
      <c r="A60" s="1">
        <f t="shared" si="3"/>
        <v>0.028482084568382034</v>
      </c>
      <c r="B60" s="19">
        <f t="shared" si="0"/>
        <v>2.000000000000001</v>
      </c>
      <c r="C60" s="19">
        <f t="shared" si="1"/>
        <v>-0.5589733918499552</v>
      </c>
      <c r="D60" s="19">
        <f t="shared" si="2"/>
        <v>0.011869267666006654</v>
      </c>
      <c r="E60" s="19">
        <f t="shared" si="4"/>
        <v>0.2854213297579809</v>
      </c>
    </row>
    <row r="61" spans="1:5" ht="11.25">
      <c r="A61" s="1">
        <f t="shared" si="3"/>
        <v>0.029906188796801136</v>
      </c>
      <c r="B61" s="19">
        <f t="shared" si="0"/>
        <v>2.100000000000001</v>
      </c>
      <c r="C61" s="19">
        <f t="shared" si="1"/>
        <v>-0.5188247139906284</v>
      </c>
      <c r="D61" s="19">
        <f t="shared" si="2"/>
        <v>0.013172644507132089</v>
      </c>
      <c r="E61" s="19">
        <f t="shared" si="4"/>
        <v>0.2659986792488802</v>
      </c>
    </row>
    <row r="62" spans="1:5" ht="11.25">
      <c r="A62" s="1">
        <f t="shared" si="3"/>
        <v>0.03133029302522024</v>
      </c>
      <c r="B62" s="19">
        <f t="shared" si="0"/>
        <v>2.200000000000001</v>
      </c>
      <c r="C62" s="19">
        <f t="shared" si="1"/>
        <v>-0.48245441515799736</v>
      </c>
      <c r="D62" s="19">
        <f t="shared" si="2"/>
        <v>0.014014414678592648</v>
      </c>
      <c r="E62" s="19">
        <f t="shared" si="4"/>
        <v>0.248234414918295</v>
      </c>
    </row>
    <row r="63" spans="1:5" ht="11.25">
      <c r="A63" s="1">
        <f t="shared" si="3"/>
        <v>0.032754397253639336</v>
      </c>
      <c r="B63" s="19">
        <f t="shared" si="0"/>
        <v>2.3000000000000007</v>
      </c>
      <c r="C63" s="19">
        <f t="shared" si="1"/>
        <v>-0.44946100992805593</v>
      </c>
      <c r="D63" s="19">
        <f t="shared" si="2"/>
        <v>0.014510672022453907</v>
      </c>
      <c r="E63" s="19">
        <f t="shared" si="4"/>
        <v>0.23198584097525493</v>
      </c>
    </row>
    <row r="64" spans="1:5" ht="11.25">
      <c r="A64" s="1">
        <f t="shared" si="3"/>
        <v>0.034178501482058435</v>
      </c>
      <c r="B64" s="19">
        <f t="shared" si="0"/>
        <v>2.4000000000000004</v>
      </c>
      <c r="C64" s="19">
        <f t="shared" si="1"/>
        <v>-0.4194839910667024</v>
      </c>
      <c r="D64" s="19">
        <f t="shared" si="2"/>
        <v>0.014749021349018746</v>
      </c>
      <c r="E64" s="19">
        <f t="shared" si="4"/>
        <v>0.21711650620786058</v>
      </c>
    </row>
    <row r="65" spans="1:5" ht="11.25">
      <c r="A65" s="1">
        <f t="shared" si="3"/>
        <v>0.03560260571047753</v>
      </c>
      <c r="B65" s="19">
        <f t="shared" si="0"/>
        <v>2.5000000000000004</v>
      </c>
      <c r="C65" s="19">
        <f t="shared" si="1"/>
        <v>-0.39220157864519045</v>
      </c>
      <c r="D65" s="19">
        <f t="shared" si="2"/>
        <v>0.014795733341342503</v>
      </c>
      <c r="E65" s="19">
        <f t="shared" si="4"/>
        <v>0.20349865599326647</v>
      </c>
    </row>
    <row r="66" spans="1:5" ht="11.25">
      <c r="A66" s="1">
        <f t="shared" si="3"/>
        <v>0.03702670993889663</v>
      </c>
      <c r="B66" s="19">
        <f t="shared" si="0"/>
        <v>2.6</v>
      </c>
      <c r="C66" s="19">
        <f t="shared" si="1"/>
        <v>-0.36732769867363385</v>
      </c>
      <c r="D66" s="19">
        <f t="shared" si="2"/>
        <v>0.01470104898086829</v>
      </c>
      <c r="E66" s="19">
        <f t="shared" si="4"/>
        <v>0.19101437382725106</v>
      </c>
    </row>
    <row r="67" spans="1:5" ht="11.25">
      <c r="A67" s="1">
        <f t="shared" si="3"/>
        <v>0.03845081416731573</v>
      </c>
      <c r="B67" s="19">
        <f t="shared" si="0"/>
        <v>2.6999999999999997</v>
      </c>
      <c r="C67" s="19">
        <f t="shared" si="1"/>
        <v>-0.34460865848998345</v>
      </c>
      <c r="D67" s="19">
        <f t="shared" si="2"/>
        <v>0.014503123434099038</v>
      </c>
      <c r="E67" s="19">
        <f t="shared" si="4"/>
        <v>0.17955589096204125</v>
      </c>
    </row>
    <row r="68" spans="1:5" ht="11.25">
      <c r="A68" s="1">
        <f t="shared" si="3"/>
        <v>0.03987491839573483</v>
      </c>
      <c r="B68" s="19">
        <f t="shared" si="0"/>
        <v>2.8</v>
      </c>
      <c r="C68" s="19">
        <f t="shared" si="1"/>
        <v>-0.32381980248873327</v>
      </c>
      <c r="D68" s="19">
        <f t="shared" si="2"/>
        <v>0.014230968174953031</v>
      </c>
      <c r="E68" s="19">
        <f t="shared" si="4"/>
        <v>0.16902538533184314</v>
      </c>
    </row>
    <row r="69" spans="1:5" ht="11.25">
      <c r="A69" s="1">
        <f t="shared" si="3"/>
        <v>0.04129902262415393</v>
      </c>
      <c r="B69" s="19">
        <f t="shared" si="0"/>
        <v>2.8999999999999995</v>
      </c>
      <c r="C69" s="19">
        <f t="shared" si="1"/>
        <v>-0.30476231188806746</v>
      </c>
      <c r="D69" s="19">
        <f t="shared" si="2"/>
        <v>0.01390665375833381</v>
      </c>
      <c r="E69" s="19">
        <f t="shared" si="4"/>
        <v>0.15933448282320065</v>
      </c>
    </row>
    <row r="70" spans="1:5" ht="11.25">
      <c r="A70" s="1">
        <f t="shared" si="3"/>
        <v>0.042723126852573026</v>
      </c>
      <c r="B70" s="19">
        <f t="shared" si="0"/>
        <v>2.9999999999999996</v>
      </c>
      <c r="C70" s="19">
        <f t="shared" si="1"/>
        <v>-0.287260235348549</v>
      </c>
      <c r="D70" s="19">
        <f t="shared" si="2"/>
        <v>0.013546965274278127</v>
      </c>
      <c r="E70" s="19">
        <f t="shared" si="4"/>
        <v>0.15040360031141356</v>
      </c>
    </row>
    <row r="71" spans="1:5" ht="11.25">
      <c r="A71" s="1">
        <f t="shared" si="3"/>
        <v>0.044147231080992125</v>
      </c>
      <c r="B71" s="19">
        <f t="shared" si="0"/>
        <v>3.099999999999999</v>
      </c>
      <c r="C71" s="19">
        <f t="shared" si="1"/>
        <v>-0.27115778898593856</v>
      </c>
      <c r="D71" s="19">
        <f t="shared" si="2"/>
        <v>0.013164651238515087</v>
      </c>
      <c r="E71" s="19">
        <f t="shared" si="4"/>
        <v>0.14216122011222682</v>
      </c>
    </row>
    <row r="72" spans="1:5" ht="11.25">
      <c r="A72" s="1">
        <f t="shared" si="3"/>
        <v>0.04557133530941122</v>
      </c>
      <c r="B72" s="19">
        <f aca="true" t="shared" si="5" ref="B72:B90">A72/a</f>
        <v>3.199999999999999</v>
      </c>
      <c r="C72" s="19">
        <f aca="true" t="shared" si="6" ref="C72:C90">q*(-1+(A72^3)/(a^2+A72^2)^1.5)/sigult</f>
        <v>-0.25631693486449914</v>
      </c>
      <c r="D72" s="19">
        <f aca="true" t="shared" si="7" ref="D72:D90">(q/2)*(-(1+2*vone)+2*(1+vone)*A72/SQRT(a^2+A72^2)-(A72^3)/(a^2+A72^2)^1.5)/sigult</f>
        <v>0.012769369349735361</v>
      </c>
      <c r="E72" s="19">
        <f t="shared" si="4"/>
        <v>0.13454315210711726</v>
      </c>
    </row>
    <row r="73" spans="1:5" ht="11.25">
      <c r="A73" s="1">
        <f aca="true" t="shared" si="8" ref="A73:A90">A72+zinc</f>
        <v>0.04699543953783032</v>
      </c>
      <c r="B73" s="19">
        <f t="shared" si="5"/>
        <v>3.299999999999999</v>
      </c>
      <c r="C73" s="19">
        <f t="shared" si="6"/>
        <v>-0.2426152298195878</v>
      </c>
      <c r="D73" s="19">
        <f t="shared" si="7"/>
        <v>0.012368405350613594</v>
      </c>
      <c r="E73" s="19">
        <f t="shared" si="4"/>
        <v>0.1274918175851007</v>
      </c>
    </row>
    <row r="74" spans="1:5" ht="11.25">
      <c r="A74" s="1">
        <f t="shared" si="8"/>
        <v>0.04841954376624942</v>
      </c>
      <c r="B74" s="19">
        <f t="shared" si="5"/>
        <v>3.3999999999999986</v>
      </c>
      <c r="C74" s="19">
        <f t="shared" si="6"/>
        <v>-0.22994392704408967</v>
      </c>
      <c r="D74" s="19">
        <f t="shared" si="7"/>
        <v>0.011967221381660136</v>
      </c>
      <c r="E74" s="19">
        <f t="shared" si="4"/>
        <v>0.12095557421287491</v>
      </c>
    </row>
    <row r="75" spans="1:5" ht="11.25">
      <c r="A75" s="1">
        <f t="shared" si="8"/>
        <v>0.04984364799466852</v>
      </c>
      <c r="B75" s="19">
        <f t="shared" si="5"/>
        <v>3.4999999999999987</v>
      </c>
      <c r="C75" s="19">
        <f t="shared" si="6"/>
        <v>-0.21820630837999794</v>
      </c>
      <c r="D75" s="19">
        <f t="shared" si="7"/>
        <v>0.011569875692955369</v>
      </c>
      <c r="E75" s="19">
        <f t="shared" si="4"/>
        <v>0.11488809203647665</v>
      </c>
    </row>
    <row r="76" spans="1:5" ht="11.25">
      <c r="A76" s="1">
        <f t="shared" si="8"/>
        <v>0.05126775222308762</v>
      </c>
      <c r="B76" s="19">
        <f t="shared" si="5"/>
        <v>3.5999999999999983</v>
      </c>
      <c r="C76" s="19">
        <f t="shared" si="6"/>
        <v>-0.2073162237835658</v>
      </c>
      <c r="D76" s="19">
        <f t="shared" si="7"/>
        <v>0.011179344917429345</v>
      </c>
      <c r="E76" s="19">
        <f t="shared" si="4"/>
        <v>0.10924778435049756</v>
      </c>
    </row>
    <row r="77" spans="1:5" ht="11.25">
      <c r="A77" s="1">
        <f t="shared" si="8"/>
        <v>0.052691856451506716</v>
      </c>
      <c r="B77" s="19">
        <f t="shared" si="5"/>
        <v>3.699999999999998</v>
      </c>
      <c r="C77" s="19">
        <f t="shared" si="6"/>
        <v>-0.19719681474825526</v>
      </c>
      <c r="D77" s="19">
        <f t="shared" si="7"/>
        <v>0.01079777225618978</v>
      </c>
      <c r="E77" s="19">
        <f t="shared" si="4"/>
        <v>0.10399729350222252</v>
      </c>
    </row>
    <row r="78" spans="1:5" ht="11.25">
      <c r="A78" s="1">
        <f t="shared" si="8"/>
        <v>0.054115960679925815</v>
      </c>
      <c r="B78" s="19">
        <f t="shared" si="5"/>
        <v>3.799999999999998</v>
      </c>
      <c r="C78" s="19">
        <f t="shared" si="6"/>
        <v>-0.18777939978444166</v>
      </c>
      <c r="D78" s="19">
        <f t="shared" si="7"/>
        <v>0.010426659120044687</v>
      </c>
      <c r="E78" s="19">
        <f t="shared" si="4"/>
        <v>0.09910302945224317</v>
      </c>
    </row>
    <row r="79" spans="1:5" ht="11.25">
      <c r="A79" s="1">
        <f t="shared" si="8"/>
        <v>0.05554006490834491</v>
      </c>
      <c r="B79" s="19">
        <f t="shared" si="5"/>
        <v>3.8999999999999977</v>
      </c>
      <c r="C79" s="19">
        <f t="shared" si="6"/>
        <v>-0.17900250187080902</v>
      </c>
      <c r="D79" s="19">
        <f t="shared" si="7"/>
        <v>0.010067013461770134</v>
      </c>
      <c r="E79" s="19">
        <f t="shared" si="4"/>
        <v>0.09453475766628958</v>
      </c>
    </row>
    <row r="80" spans="1:5" ht="11.25">
      <c r="A80" s="1">
        <f t="shared" si="8"/>
        <v>0.05696416913676401</v>
      </c>
      <c r="B80" s="19">
        <f t="shared" si="5"/>
        <v>3.999999999999998</v>
      </c>
      <c r="C80" s="19">
        <f t="shared" si="6"/>
        <v>-0.1708109998019735</v>
      </c>
      <c r="D80" s="19">
        <f t="shared" si="7"/>
        <v>0.009719464822176787</v>
      </c>
      <c r="E80" s="19">
        <f t="shared" si="4"/>
        <v>0.09026523231207514</v>
      </c>
    </row>
    <row r="81" spans="1:5" ht="11.25">
      <c r="A81" s="1">
        <f t="shared" si="8"/>
        <v>0.05838827336518311</v>
      </c>
      <c r="B81" s="19">
        <f t="shared" si="5"/>
        <v>4.099999999999997</v>
      </c>
      <c r="C81" s="19">
        <f t="shared" si="6"/>
        <v>-0.1631553873758634</v>
      </c>
      <c r="D81" s="19">
        <f t="shared" si="7"/>
        <v>0.009384353710214503</v>
      </c>
      <c r="E81" s="19">
        <f t="shared" si="4"/>
        <v>0.08626987054303896</v>
      </c>
    </row>
    <row r="82" spans="1:5" ht="11.25">
      <c r="A82" s="1">
        <f t="shared" si="8"/>
        <v>0.05981237759360221</v>
      </c>
      <c r="B82" s="19">
        <f t="shared" si="5"/>
        <v>4.1999999999999975</v>
      </c>
      <c r="C82" s="19">
        <f t="shared" si="6"/>
        <v>-0.15599112628856887</v>
      </c>
      <c r="D82" s="19">
        <f t="shared" si="7"/>
        <v>0.009061801132487366</v>
      </c>
      <c r="E82" s="19">
        <f t="shared" si="4"/>
        <v>0.08252646371052812</v>
      </c>
    </row>
    <row r="83" spans="1:5" ht="11.25">
      <c r="A83" s="1">
        <f t="shared" si="8"/>
        <v>0.06123648182202131</v>
      </c>
      <c r="B83" s="19">
        <f t="shared" si="5"/>
        <v>4.299999999999997</v>
      </c>
      <c r="C83" s="19">
        <f t="shared" si="6"/>
        <v>-0.14927808037868526</v>
      </c>
      <c r="D83" s="19">
        <f t="shared" si="7"/>
        <v>0.008751762726246587</v>
      </c>
      <c r="E83" s="19">
        <f t="shared" si="4"/>
        <v>0.07901492155246592</v>
      </c>
    </row>
    <row r="84" spans="1:5" ht="11.25">
      <c r="A84" s="1">
        <f t="shared" si="8"/>
        <v>0.0626605860504404</v>
      </c>
      <c r="B84" s="19">
        <f t="shared" si="5"/>
        <v>4.399999999999997</v>
      </c>
      <c r="C84" s="19">
        <f t="shared" si="6"/>
        <v>-0.14298002046482566</v>
      </c>
      <c r="D84" s="19">
        <f t="shared" si="7"/>
        <v>0.008454070919391696</v>
      </c>
      <c r="E84" s="19">
        <f t="shared" si="4"/>
        <v>0.07571704569210869</v>
      </c>
    </row>
    <row r="85" spans="1:5" ht="11.25">
      <c r="A85" s="1">
        <f t="shared" si="8"/>
        <v>0.0640846902788595</v>
      </c>
      <c r="B85" s="19">
        <f t="shared" si="5"/>
        <v>4.4999999999999964</v>
      </c>
      <c r="C85" s="19">
        <f t="shared" si="6"/>
        <v>-0.13706419044419108</v>
      </c>
      <c r="D85" s="19">
        <f t="shared" si="7"/>
        <v>0.008168467757649175</v>
      </c>
      <c r="E85" s="19">
        <f aca="true" t="shared" si="9" ref="E85:E90">(D85-C85)/2</f>
        <v>0.07261632910092013</v>
      </c>
    </row>
    <row r="86" spans="1:5" ht="11.25">
      <c r="A86" s="1">
        <f t="shared" si="8"/>
        <v>0.0655087945072786</v>
      </c>
      <c r="B86" s="19">
        <f t="shared" si="5"/>
        <v>4.599999999999996</v>
      </c>
      <c r="C86" s="19">
        <f t="shared" si="6"/>
        <v>-0.13150092657344456</v>
      </c>
      <c r="D86" s="19">
        <f t="shared" si="7"/>
        <v>0.007894630441601639</v>
      </c>
      <c r="E86" s="19">
        <f t="shared" si="9"/>
        <v>0.0696977785075231</v>
      </c>
    </row>
    <row r="87" spans="1:5" ht="11.25">
      <c r="A87" s="1">
        <f t="shared" si="8"/>
        <v>0.0669328987356977</v>
      </c>
      <c r="B87" s="19">
        <f t="shared" si="5"/>
        <v>4.699999999999997</v>
      </c>
      <c r="C87" s="19">
        <f t="shared" si="6"/>
        <v>-0.1262633229479564</v>
      </c>
      <c r="D87" s="19">
        <f t="shared" si="7"/>
        <v>0.0076321911587289995</v>
      </c>
      <c r="E87" s="19">
        <f t="shared" si="9"/>
        <v>0.0669477570533427</v>
      </c>
    </row>
    <row r="88" spans="1:5" ht="11.25">
      <c r="A88" s="1">
        <f t="shared" si="8"/>
        <v>0.0683570029641168</v>
      </c>
      <c r="B88" s="19">
        <f t="shared" si="5"/>
        <v>4.799999999999996</v>
      </c>
      <c r="C88" s="19">
        <f t="shared" si="6"/>
        <v>-0.12132693714646248</v>
      </c>
      <c r="D88" s="19">
        <f t="shared" si="7"/>
        <v>0.00738075244411232</v>
      </c>
      <c r="E88" s="19">
        <f t="shared" si="9"/>
        <v>0.0643538447952874</v>
      </c>
    </row>
    <row r="89" spans="1:5" ht="11.25">
      <c r="A89" s="1">
        <f t="shared" si="8"/>
        <v>0.0697811071925359</v>
      </c>
      <c r="B89" s="19">
        <f t="shared" si="5"/>
        <v>4.899999999999996</v>
      </c>
      <c r="C89" s="19">
        <f t="shared" si="6"/>
        <v>-0.11666953083128412</v>
      </c>
      <c r="D89" s="19">
        <f t="shared" si="7"/>
        <v>0.0071398990324567525</v>
      </c>
      <c r="E89" s="19">
        <f t="shared" si="9"/>
        <v>0.061904714931870435</v>
      </c>
    </row>
    <row r="90" spans="1:5" ht="11.25">
      <c r="A90" s="1">
        <f t="shared" si="8"/>
        <v>0.071205211420955</v>
      </c>
      <c r="B90" s="19">
        <f t="shared" si="5"/>
        <v>4.999999999999996</v>
      </c>
      <c r="C90" s="19">
        <f t="shared" si="6"/>
        <v>-0.11227084080475722</v>
      </c>
      <c r="D90" s="19">
        <f t="shared" si="7"/>
        <v>0.006909206954570365</v>
      </c>
      <c r="E90" s="19">
        <f t="shared" si="9"/>
        <v>0.05959002387966379</v>
      </c>
    </row>
    <row r="91" ht="11.25">
      <c r="A91" s="1"/>
    </row>
    <row r="92" ht="11.25">
      <c r="A92" s="1"/>
    </row>
    <row r="93" ht="11.25">
      <c r="A93" s="1"/>
    </row>
    <row r="94" ht="11.25">
      <c r="A94" s="1"/>
    </row>
    <row r="95" ht="11.25">
      <c r="A95" s="1"/>
    </row>
    <row r="96" ht="11.25">
      <c r="A96" s="1"/>
    </row>
    <row r="97" ht="11.25">
      <c r="A97" s="1"/>
    </row>
  </sheetData>
  <sheetProtection password="E53C"/>
  <mergeCells count="5">
    <mergeCell ref="A5:B5"/>
    <mergeCell ref="A4:B4"/>
    <mergeCell ref="A1:B1"/>
    <mergeCell ref="A2:B2"/>
    <mergeCell ref="A3:B3"/>
  </mergeCells>
  <printOptions gridLines="1" headings="1"/>
  <pageMargins left="0.75" right="0.75" top="1" bottom="1" header="0.5" footer="0.5"/>
  <pageSetup orientation="portrait" r:id="rId5"/>
  <headerFooter alignWithMargins="0">
    <oddHeader>&amp;C&amp;f</oddHeader>
    <oddFooter>&amp;CPage &amp;p</oddFooter>
  </headerFooter>
  <drawing r:id="rId4"/>
  <legacyDrawing r:id="rId3"/>
  <oleObjects>
    <oleObject progId="Equation.DSMT4" shapeId="762990" r:id="rId1"/>
    <oleObject progId="Equation.DSMT4" shapeId="60202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Alex Slocum</cp:lastModifiedBy>
  <cp:lastPrinted>1998-02-09T16:08:50Z</cp:lastPrinted>
  <dcterms:created xsi:type="dcterms:W3CDTF">2004-01-23T17:18:10Z</dcterms:created>
  <dcterms:modified xsi:type="dcterms:W3CDTF">2005-09-23T03:22:17Z</dcterms:modified>
  <cp:category/>
  <cp:version/>
  <cp:contentType/>
  <cp:contentStatus/>
</cp:coreProperties>
</file>